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usp/uu/PR24/DD Submission Readiness/UU Website/Data and models/"/>
    </mc:Choice>
  </mc:AlternateContent>
  <xr:revisionPtr revIDLastSave="0" documentId="8_{13838370-27C8-45E7-822D-14747E8833FC}" xr6:coauthVersionLast="47" xr6:coauthVersionMax="47" xr10:uidLastSave="{00000000-0000-0000-0000-000000000000}"/>
  <bookViews>
    <workbookView xWindow="28692" yWindow="-108" windowWidth="29016" windowHeight="15816" activeTab="6" xr2:uid="{00000000-000D-0000-FFFF-FFFF00000000}"/>
  </bookViews>
  <sheets>
    <sheet name="Cover" sheetId="16" r:id="rId1"/>
    <sheet name="Map and key" sheetId="13" r:id="rId2"/>
    <sheet name="Model formatting" sheetId="2" r:id="rId3"/>
    <sheet name="Inputs" sheetId="7" r:id="rId4"/>
    <sheet name="Time" sheetId="8" r:id="rId5"/>
    <sheet name="Calcs" sheetId="12" r:id="rId6"/>
    <sheet name="Dashboard" sheetId="15" r:id="rId7"/>
    <sheet name="Checks" sheetId="9" r:id="rId8"/>
    <sheet name="Track" sheetId="14" r:id="rId9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" localSheetId="8">#REF!</definedName>
    <definedName name="ChK_Tol">Inputs!$F$20</definedName>
    <definedName name="CHK_TOL_TAX">#REF!</definedName>
    <definedName name="LIVE_RESULTS">Track!$H$7:$H$31</definedName>
    <definedName name="Pct_Tol">Inputs!#REF!</definedName>
    <definedName name="_xlnm.Print_Titles" localSheetId="5">Calcs!$A:$F,Calcs!$1:$2</definedName>
    <definedName name="_xlnm.Print_Titles" localSheetId="7">Checks!$A:$F,Checks!$1:$3</definedName>
    <definedName name="_xlnm.Print_Titles" localSheetId="3">Inputs!$A:$F,Inputs!$1:$3</definedName>
    <definedName name="_xlnm.Print_Titles" localSheetId="4">Time!$A:$F,Time!$1:$2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TART_TRACK_STORE">Track!$M$6</definedName>
    <definedName name="TRACK_ACTIVE">Track!$H$6</definedName>
    <definedName name="TRACK_COMMENT_START">Track!$M$33</definedName>
    <definedName name="TRK_COMMENT">Track!$E$33</definedName>
    <definedName name="Trk_Tol" localSheetId="0">#REF!</definedName>
    <definedName name="TRK_TOL" localSheetId="8">#REF!</definedName>
    <definedName name="TRK_TOL">Inputs!$F$21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6" l="1"/>
  <c r="B79" i="16"/>
  <c r="B78" i="16"/>
  <c r="I166" i="12" l="1"/>
  <c r="G166" i="12"/>
  <c r="F166" i="12"/>
  <c r="I165" i="12"/>
  <c r="G165" i="12"/>
  <c r="F165" i="12"/>
  <c r="I164" i="12"/>
  <c r="G164" i="12"/>
  <c r="F164" i="12"/>
  <c r="I163" i="12"/>
  <c r="G163" i="12"/>
  <c r="F163" i="12"/>
  <c r="I162" i="12"/>
  <c r="G162" i="12"/>
  <c r="F162" i="12"/>
  <c r="E166" i="12"/>
  <c r="E165" i="12"/>
  <c r="E164" i="12"/>
  <c r="E163" i="12"/>
  <c r="E162" i="12"/>
  <c r="I160" i="12"/>
  <c r="G160" i="12"/>
  <c r="F160" i="12"/>
  <c r="I159" i="12"/>
  <c r="G159" i="12"/>
  <c r="F159" i="12"/>
  <c r="I158" i="12"/>
  <c r="G158" i="12"/>
  <c r="F158" i="12"/>
  <c r="I157" i="12"/>
  <c r="G157" i="12"/>
  <c r="F157" i="12"/>
  <c r="I156" i="12"/>
  <c r="G156" i="12"/>
  <c r="F156" i="12"/>
  <c r="E160" i="12"/>
  <c r="E159" i="12"/>
  <c r="E158" i="12"/>
  <c r="E157" i="12"/>
  <c r="E156" i="12"/>
  <c r="E39" i="12"/>
  <c r="S291" i="7"/>
  <c r="S56" i="12" s="1"/>
  <c r="R291" i="7"/>
  <c r="R56" i="12" s="1"/>
  <c r="Q291" i="7"/>
  <c r="Q56" i="12" s="1"/>
  <c r="P291" i="7"/>
  <c r="P56" i="12" s="1"/>
  <c r="O291" i="7"/>
  <c r="O56" i="12" s="1"/>
  <c r="N291" i="7"/>
  <c r="N56" i="12" s="1"/>
  <c r="M291" i="7"/>
  <c r="M56" i="12" s="1"/>
  <c r="L291" i="7"/>
  <c r="L56" i="12" s="1"/>
  <c r="K291" i="7"/>
  <c r="K56" i="12" s="1"/>
  <c r="J291" i="7"/>
  <c r="J56" i="12" s="1"/>
  <c r="I291" i="7"/>
  <c r="I56" i="12" s="1"/>
  <c r="H291" i="7"/>
  <c r="H56" i="12" s="1"/>
  <c r="G291" i="7"/>
  <c r="G56" i="12" s="1"/>
  <c r="F291" i="7"/>
  <c r="F56" i="12" s="1"/>
  <c r="S290" i="7"/>
  <c r="S55" i="12" s="1"/>
  <c r="R290" i="7"/>
  <c r="R55" i="12" s="1"/>
  <c r="Q290" i="7"/>
  <c r="Q55" i="12" s="1"/>
  <c r="P290" i="7"/>
  <c r="P55" i="12" s="1"/>
  <c r="O290" i="7"/>
  <c r="O55" i="12" s="1"/>
  <c r="N290" i="7"/>
  <c r="N55" i="12" s="1"/>
  <c r="M290" i="7"/>
  <c r="M55" i="12" s="1"/>
  <c r="L290" i="7"/>
  <c r="L55" i="12" s="1"/>
  <c r="K290" i="7"/>
  <c r="K55" i="12" s="1"/>
  <c r="J290" i="7"/>
  <c r="J55" i="12" s="1"/>
  <c r="I290" i="7"/>
  <c r="I55" i="12" s="1"/>
  <c r="H290" i="7"/>
  <c r="H55" i="12" s="1"/>
  <c r="G290" i="7"/>
  <c r="G55" i="12" s="1"/>
  <c r="F290" i="7"/>
  <c r="F55" i="12" s="1"/>
  <c r="S289" i="7"/>
  <c r="S54" i="12" s="1"/>
  <c r="R289" i="7"/>
  <c r="R54" i="12" s="1"/>
  <c r="Q289" i="7"/>
  <c r="Q54" i="12" s="1"/>
  <c r="P289" i="7"/>
  <c r="P54" i="12" s="1"/>
  <c r="O289" i="7"/>
  <c r="O54" i="12" s="1"/>
  <c r="N289" i="7"/>
  <c r="N54" i="12" s="1"/>
  <c r="M289" i="7"/>
  <c r="M54" i="12" s="1"/>
  <c r="L289" i="7"/>
  <c r="L54" i="12" s="1"/>
  <c r="K289" i="7"/>
  <c r="K54" i="12" s="1"/>
  <c r="J289" i="7"/>
  <c r="J54" i="12" s="1"/>
  <c r="I289" i="7"/>
  <c r="I54" i="12" s="1"/>
  <c r="H289" i="7"/>
  <c r="H54" i="12" s="1"/>
  <c r="G289" i="7"/>
  <c r="G54" i="12" s="1"/>
  <c r="F289" i="7"/>
  <c r="F54" i="12" s="1"/>
  <c r="S288" i="7"/>
  <c r="S53" i="12" s="1"/>
  <c r="R288" i="7"/>
  <c r="R53" i="12" s="1"/>
  <c r="Q288" i="7"/>
  <c r="Q53" i="12" s="1"/>
  <c r="P288" i="7"/>
  <c r="P53" i="12" s="1"/>
  <c r="O288" i="7"/>
  <c r="O53" i="12" s="1"/>
  <c r="N288" i="7"/>
  <c r="N53" i="12" s="1"/>
  <c r="M288" i="7"/>
  <c r="M53" i="12" s="1"/>
  <c r="L288" i="7"/>
  <c r="L53" i="12" s="1"/>
  <c r="K288" i="7"/>
  <c r="K53" i="12" s="1"/>
  <c r="J288" i="7"/>
  <c r="J53" i="12" s="1"/>
  <c r="I288" i="7"/>
  <c r="I53" i="12" s="1"/>
  <c r="H288" i="7"/>
  <c r="H53" i="12" s="1"/>
  <c r="G288" i="7"/>
  <c r="G53" i="12" s="1"/>
  <c r="F288" i="7"/>
  <c r="F53" i="12" s="1"/>
  <c r="S287" i="7"/>
  <c r="S52" i="12" s="1"/>
  <c r="R287" i="7"/>
  <c r="R52" i="12" s="1"/>
  <c r="Q287" i="7"/>
  <c r="Q52" i="12" s="1"/>
  <c r="P287" i="7"/>
  <c r="P52" i="12" s="1"/>
  <c r="O287" i="7"/>
  <c r="O52" i="12" s="1"/>
  <c r="N287" i="7"/>
  <c r="N52" i="12" s="1"/>
  <c r="M287" i="7"/>
  <c r="M52" i="12" s="1"/>
  <c r="L287" i="7"/>
  <c r="L52" i="12" s="1"/>
  <c r="K287" i="7"/>
  <c r="K52" i="12" s="1"/>
  <c r="J287" i="7"/>
  <c r="J52" i="12" s="1"/>
  <c r="I287" i="7"/>
  <c r="I52" i="12" s="1"/>
  <c r="H287" i="7"/>
  <c r="H52" i="12" s="1"/>
  <c r="G287" i="7"/>
  <c r="G52" i="12" s="1"/>
  <c r="F287" i="7"/>
  <c r="F52" i="12" s="1"/>
  <c r="S285" i="7"/>
  <c r="S38" i="12" s="1"/>
  <c r="R285" i="7"/>
  <c r="R38" i="12" s="1"/>
  <c r="Q285" i="7"/>
  <c r="Q38" i="12" s="1"/>
  <c r="P285" i="7"/>
  <c r="P38" i="12" s="1"/>
  <c r="O285" i="7"/>
  <c r="O38" i="12" s="1"/>
  <c r="N285" i="7"/>
  <c r="N38" i="12" s="1"/>
  <c r="M285" i="7"/>
  <c r="M38" i="12" s="1"/>
  <c r="L285" i="7"/>
  <c r="L38" i="12" s="1"/>
  <c r="K285" i="7"/>
  <c r="K38" i="12" s="1"/>
  <c r="J285" i="7"/>
  <c r="J38" i="12" s="1"/>
  <c r="I285" i="7"/>
  <c r="I38" i="12" s="1"/>
  <c r="H285" i="7"/>
  <c r="H38" i="12" s="1"/>
  <c r="G285" i="7"/>
  <c r="G38" i="12" s="1"/>
  <c r="F285" i="7"/>
  <c r="F38" i="12" s="1"/>
  <c r="S284" i="7"/>
  <c r="S37" i="12" s="1"/>
  <c r="R284" i="7"/>
  <c r="R37" i="12" s="1"/>
  <c r="Q284" i="7"/>
  <c r="Q37" i="12" s="1"/>
  <c r="P284" i="7"/>
  <c r="P37" i="12" s="1"/>
  <c r="O284" i="7"/>
  <c r="O37" i="12" s="1"/>
  <c r="N284" i="7"/>
  <c r="N37" i="12" s="1"/>
  <c r="M284" i="7"/>
  <c r="M37" i="12" s="1"/>
  <c r="L284" i="7"/>
  <c r="L37" i="12" s="1"/>
  <c r="K284" i="7"/>
  <c r="K37" i="12" s="1"/>
  <c r="J284" i="7"/>
  <c r="J37" i="12" s="1"/>
  <c r="I284" i="7"/>
  <c r="I37" i="12" s="1"/>
  <c r="H284" i="7"/>
  <c r="H37" i="12" s="1"/>
  <c r="G284" i="7"/>
  <c r="G37" i="12" s="1"/>
  <c r="F284" i="7"/>
  <c r="F37" i="12" s="1"/>
  <c r="S283" i="7"/>
  <c r="S36" i="12" s="1"/>
  <c r="R283" i="7"/>
  <c r="R36" i="12" s="1"/>
  <c r="Q283" i="7"/>
  <c r="Q36" i="12" s="1"/>
  <c r="P283" i="7"/>
  <c r="P36" i="12" s="1"/>
  <c r="O283" i="7"/>
  <c r="O36" i="12" s="1"/>
  <c r="N283" i="7"/>
  <c r="N36" i="12" s="1"/>
  <c r="M283" i="7"/>
  <c r="M36" i="12" s="1"/>
  <c r="L283" i="7"/>
  <c r="L36" i="12" s="1"/>
  <c r="K283" i="7"/>
  <c r="K36" i="12" s="1"/>
  <c r="J283" i="7"/>
  <c r="J36" i="12" s="1"/>
  <c r="I283" i="7"/>
  <c r="I36" i="12" s="1"/>
  <c r="H283" i="7"/>
  <c r="H36" i="12" s="1"/>
  <c r="G283" i="7"/>
  <c r="G36" i="12" s="1"/>
  <c r="F283" i="7"/>
  <c r="F36" i="12" s="1"/>
  <c r="S282" i="7"/>
  <c r="S35" i="12" s="1"/>
  <c r="R282" i="7"/>
  <c r="R35" i="12" s="1"/>
  <c r="Q282" i="7"/>
  <c r="Q35" i="12" s="1"/>
  <c r="P282" i="7"/>
  <c r="P35" i="12" s="1"/>
  <c r="O282" i="7"/>
  <c r="O35" i="12" s="1"/>
  <c r="N282" i="7"/>
  <c r="N35" i="12" s="1"/>
  <c r="M282" i="7"/>
  <c r="M35" i="12" s="1"/>
  <c r="L282" i="7"/>
  <c r="L35" i="12" s="1"/>
  <c r="K282" i="7"/>
  <c r="K35" i="12" s="1"/>
  <c r="J282" i="7"/>
  <c r="J35" i="12" s="1"/>
  <c r="I282" i="7"/>
  <c r="I35" i="12" s="1"/>
  <c r="H282" i="7"/>
  <c r="H35" i="12" s="1"/>
  <c r="G282" i="7"/>
  <c r="G35" i="12" s="1"/>
  <c r="F282" i="7"/>
  <c r="F35" i="12" s="1"/>
  <c r="S281" i="7"/>
  <c r="S34" i="12" s="1"/>
  <c r="R281" i="7"/>
  <c r="R34" i="12" s="1"/>
  <c r="Q281" i="7"/>
  <c r="Q34" i="12" s="1"/>
  <c r="P281" i="7"/>
  <c r="P34" i="12" s="1"/>
  <c r="O281" i="7"/>
  <c r="O34" i="12" s="1"/>
  <c r="N281" i="7"/>
  <c r="N34" i="12" s="1"/>
  <c r="M281" i="7"/>
  <c r="M34" i="12" s="1"/>
  <c r="L281" i="7"/>
  <c r="L34" i="12" s="1"/>
  <c r="K281" i="7"/>
  <c r="K34" i="12" s="1"/>
  <c r="J281" i="7"/>
  <c r="J34" i="12" s="1"/>
  <c r="I281" i="7"/>
  <c r="I34" i="12" s="1"/>
  <c r="H281" i="7"/>
  <c r="H34" i="12" s="1"/>
  <c r="G281" i="7"/>
  <c r="G34" i="12" s="1"/>
  <c r="F281" i="7"/>
  <c r="F34" i="12" s="1"/>
  <c r="E291" i="7"/>
  <c r="E56" i="12" s="1"/>
  <c r="E285" i="7"/>
  <c r="E38" i="12" s="1"/>
  <c r="E290" i="7"/>
  <c r="E55" i="12" s="1"/>
  <c r="E284" i="7"/>
  <c r="E37" i="12" s="1"/>
  <c r="E289" i="7"/>
  <c r="E54" i="12" s="1"/>
  <c r="E283" i="7"/>
  <c r="E36" i="12" s="1"/>
  <c r="E288" i="7"/>
  <c r="E53" i="12" s="1"/>
  <c r="E282" i="7"/>
  <c r="E35" i="12" s="1"/>
  <c r="E287" i="7"/>
  <c r="E52" i="12" s="1"/>
  <c r="B75" i="16"/>
  <c r="S165" i="7"/>
  <c r="S50" i="12" s="1"/>
  <c r="R165" i="7"/>
  <c r="R50" i="12" s="1"/>
  <c r="Q165" i="7"/>
  <c r="Q50" i="12" s="1"/>
  <c r="P165" i="7"/>
  <c r="P50" i="12" s="1"/>
  <c r="O165" i="7"/>
  <c r="O50" i="12" s="1"/>
  <c r="N165" i="7"/>
  <c r="N50" i="12" s="1"/>
  <c r="M165" i="7"/>
  <c r="M50" i="12" s="1"/>
  <c r="L165" i="7"/>
  <c r="L50" i="12" s="1"/>
  <c r="K165" i="7"/>
  <c r="K50" i="12" s="1"/>
  <c r="J165" i="7"/>
  <c r="J50" i="12" s="1"/>
  <c r="I165" i="7"/>
  <c r="I50" i="12" s="1"/>
  <c r="H165" i="7"/>
  <c r="H50" i="12" s="1"/>
  <c r="G165" i="7"/>
  <c r="G50" i="12" s="1"/>
  <c r="F165" i="7"/>
  <c r="F50" i="12" s="1"/>
  <c r="E165" i="7"/>
  <c r="E50" i="12" s="1"/>
  <c r="S159" i="7"/>
  <c r="S32" i="12" s="1"/>
  <c r="R159" i="7"/>
  <c r="R32" i="12" s="1"/>
  <c r="Q159" i="7"/>
  <c r="Q32" i="12" s="1"/>
  <c r="P159" i="7"/>
  <c r="P32" i="12" s="1"/>
  <c r="O159" i="7"/>
  <c r="O32" i="12" s="1"/>
  <c r="N159" i="7"/>
  <c r="N32" i="12" s="1"/>
  <c r="M159" i="7"/>
  <c r="M32" i="12" s="1"/>
  <c r="L159" i="7"/>
  <c r="L32" i="12" s="1"/>
  <c r="K159" i="7"/>
  <c r="K32" i="12" s="1"/>
  <c r="J159" i="7"/>
  <c r="J32" i="12" s="1"/>
  <c r="I159" i="7"/>
  <c r="I32" i="12" s="1"/>
  <c r="H159" i="7"/>
  <c r="H32" i="12" s="1"/>
  <c r="G159" i="7"/>
  <c r="G32" i="12" s="1"/>
  <c r="F159" i="7"/>
  <c r="F32" i="12" s="1"/>
  <c r="E159" i="7"/>
  <c r="E32" i="12" s="1"/>
  <c r="S164" i="7"/>
  <c r="S49" i="12" s="1"/>
  <c r="R164" i="7"/>
  <c r="R49" i="12" s="1"/>
  <c r="Q164" i="7"/>
  <c r="Q49" i="12" s="1"/>
  <c r="P164" i="7"/>
  <c r="P49" i="12" s="1"/>
  <c r="O164" i="7"/>
  <c r="O49" i="12" s="1"/>
  <c r="N164" i="7"/>
  <c r="N49" i="12" s="1"/>
  <c r="M164" i="7"/>
  <c r="M49" i="12" s="1"/>
  <c r="L164" i="7"/>
  <c r="L49" i="12" s="1"/>
  <c r="K164" i="7"/>
  <c r="K49" i="12" s="1"/>
  <c r="J164" i="7"/>
  <c r="J49" i="12" s="1"/>
  <c r="I164" i="7"/>
  <c r="I49" i="12" s="1"/>
  <c r="H164" i="7"/>
  <c r="H49" i="12" s="1"/>
  <c r="G164" i="7"/>
  <c r="G49" i="12" s="1"/>
  <c r="F164" i="7"/>
  <c r="F49" i="12" s="1"/>
  <c r="E164" i="7"/>
  <c r="E49" i="12" s="1"/>
  <c r="S158" i="7"/>
  <c r="S31" i="12" s="1"/>
  <c r="R158" i="7"/>
  <c r="R31" i="12" s="1"/>
  <c r="Q158" i="7"/>
  <c r="Q31" i="12" s="1"/>
  <c r="P158" i="7"/>
  <c r="P31" i="12" s="1"/>
  <c r="O158" i="7"/>
  <c r="O31" i="12" s="1"/>
  <c r="N158" i="7"/>
  <c r="N31" i="12" s="1"/>
  <c r="M158" i="7"/>
  <c r="M31" i="12" s="1"/>
  <c r="L158" i="7"/>
  <c r="L31" i="12" s="1"/>
  <c r="K158" i="7"/>
  <c r="K31" i="12" s="1"/>
  <c r="J158" i="7"/>
  <c r="J31" i="12" s="1"/>
  <c r="I158" i="7"/>
  <c r="I31" i="12" s="1"/>
  <c r="H158" i="7"/>
  <c r="H31" i="12" s="1"/>
  <c r="G158" i="7"/>
  <c r="G31" i="12" s="1"/>
  <c r="F158" i="7"/>
  <c r="F31" i="12" s="1"/>
  <c r="E158" i="7"/>
  <c r="E31" i="12" s="1"/>
  <c r="S163" i="7"/>
  <c r="S48" i="12" s="1"/>
  <c r="R163" i="7"/>
  <c r="R48" i="12" s="1"/>
  <c r="Q163" i="7"/>
  <c r="Q48" i="12" s="1"/>
  <c r="P163" i="7"/>
  <c r="P48" i="12" s="1"/>
  <c r="O163" i="7"/>
  <c r="O48" i="12" s="1"/>
  <c r="N163" i="7"/>
  <c r="N48" i="12" s="1"/>
  <c r="M163" i="7"/>
  <c r="M48" i="12" s="1"/>
  <c r="L163" i="7"/>
  <c r="L48" i="12" s="1"/>
  <c r="K163" i="7"/>
  <c r="K48" i="12" s="1"/>
  <c r="J163" i="7"/>
  <c r="J48" i="12" s="1"/>
  <c r="I163" i="7"/>
  <c r="I48" i="12" s="1"/>
  <c r="H163" i="7"/>
  <c r="H48" i="12" s="1"/>
  <c r="G163" i="7"/>
  <c r="G48" i="12" s="1"/>
  <c r="F163" i="7"/>
  <c r="F48" i="12" s="1"/>
  <c r="E163" i="7"/>
  <c r="E48" i="12" s="1"/>
  <c r="S157" i="7"/>
  <c r="S30" i="12" s="1"/>
  <c r="R157" i="7"/>
  <c r="R30" i="12" s="1"/>
  <c r="Q157" i="7"/>
  <c r="Q30" i="12" s="1"/>
  <c r="P157" i="7"/>
  <c r="P30" i="12" s="1"/>
  <c r="O157" i="7"/>
  <c r="O30" i="12" s="1"/>
  <c r="N157" i="7"/>
  <c r="N30" i="12" s="1"/>
  <c r="M157" i="7"/>
  <c r="M30" i="12" s="1"/>
  <c r="L157" i="7"/>
  <c r="L30" i="12" s="1"/>
  <c r="K157" i="7"/>
  <c r="K30" i="12" s="1"/>
  <c r="J157" i="7"/>
  <c r="J30" i="12" s="1"/>
  <c r="I157" i="7"/>
  <c r="I30" i="12" s="1"/>
  <c r="H157" i="7"/>
  <c r="H30" i="12" s="1"/>
  <c r="G157" i="7"/>
  <c r="G30" i="12" s="1"/>
  <c r="F157" i="7"/>
  <c r="F30" i="12" s="1"/>
  <c r="E157" i="7"/>
  <c r="E30" i="12" s="1"/>
  <c r="S162" i="7"/>
  <c r="S47" i="12" s="1"/>
  <c r="R162" i="7"/>
  <c r="R47" i="12" s="1"/>
  <c r="Q162" i="7"/>
  <c r="Q47" i="12" s="1"/>
  <c r="P162" i="7"/>
  <c r="P47" i="12" s="1"/>
  <c r="O162" i="7"/>
  <c r="O47" i="12" s="1"/>
  <c r="N162" i="7"/>
  <c r="N47" i="12" s="1"/>
  <c r="M162" i="7"/>
  <c r="M47" i="12" s="1"/>
  <c r="L162" i="7"/>
  <c r="L47" i="12" s="1"/>
  <c r="K162" i="7"/>
  <c r="K47" i="12" s="1"/>
  <c r="J162" i="7"/>
  <c r="J47" i="12" s="1"/>
  <c r="I162" i="7"/>
  <c r="I47" i="12" s="1"/>
  <c r="H162" i="7"/>
  <c r="H47" i="12" s="1"/>
  <c r="G162" i="7"/>
  <c r="G47" i="12" s="1"/>
  <c r="F162" i="7"/>
  <c r="F47" i="12" s="1"/>
  <c r="E162" i="7"/>
  <c r="E47" i="12" s="1"/>
  <c r="S156" i="7"/>
  <c r="S29" i="12" s="1"/>
  <c r="R156" i="7"/>
  <c r="R29" i="12" s="1"/>
  <c r="Q156" i="7"/>
  <c r="Q29" i="12" s="1"/>
  <c r="P156" i="7"/>
  <c r="P29" i="12" s="1"/>
  <c r="O156" i="7"/>
  <c r="O29" i="12" s="1"/>
  <c r="N156" i="7"/>
  <c r="N29" i="12" s="1"/>
  <c r="M156" i="7"/>
  <c r="M29" i="12" s="1"/>
  <c r="L156" i="7"/>
  <c r="L29" i="12" s="1"/>
  <c r="K156" i="7"/>
  <c r="K29" i="12" s="1"/>
  <c r="J156" i="7"/>
  <c r="J29" i="12" s="1"/>
  <c r="I156" i="7"/>
  <c r="I29" i="12" s="1"/>
  <c r="H156" i="7"/>
  <c r="H29" i="12" s="1"/>
  <c r="G156" i="7"/>
  <c r="G29" i="12" s="1"/>
  <c r="F156" i="7"/>
  <c r="F29" i="12" s="1"/>
  <c r="E156" i="7"/>
  <c r="E29" i="12" s="1"/>
  <c r="S161" i="7"/>
  <c r="S46" i="12" s="1"/>
  <c r="R161" i="7"/>
  <c r="R46" i="12" s="1"/>
  <c r="Q161" i="7"/>
  <c r="Q46" i="12" s="1"/>
  <c r="P161" i="7"/>
  <c r="P46" i="12" s="1"/>
  <c r="O161" i="7"/>
  <c r="O46" i="12" s="1"/>
  <c r="N161" i="7"/>
  <c r="N46" i="12" s="1"/>
  <c r="M161" i="7"/>
  <c r="M46" i="12" s="1"/>
  <c r="L161" i="7"/>
  <c r="L46" i="12" s="1"/>
  <c r="K161" i="7"/>
  <c r="K46" i="12" s="1"/>
  <c r="J161" i="7"/>
  <c r="J46" i="12" s="1"/>
  <c r="I161" i="7"/>
  <c r="I46" i="12" s="1"/>
  <c r="H161" i="7"/>
  <c r="H46" i="12" s="1"/>
  <c r="G161" i="7"/>
  <c r="G46" i="12" s="1"/>
  <c r="F161" i="7"/>
  <c r="F46" i="12" s="1"/>
  <c r="E161" i="7"/>
  <c r="E46" i="12" s="1"/>
  <c r="S155" i="7"/>
  <c r="S28" i="12" s="1"/>
  <c r="R155" i="7"/>
  <c r="R28" i="12" s="1"/>
  <c r="Q155" i="7"/>
  <c r="Q28" i="12" s="1"/>
  <c r="P155" i="7"/>
  <c r="P28" i="12" s="1"/>
  <c r="O155" i="7"/>
  <c r="O28" i="12" s="1"/>
  <c r="N155" i="7"/>
  <c r="N28" i="12" s="1"/>
  <c r="M155" i="7"/>
  <c r="M28" i="12" s="1"/>
  <c r="L155" i="7"/>
  <c r="L28" i="12" s="1"/>
  <c r="K155" i="7"/>
  <c r="K28" i="12" s="1"/>
  <c r="J155" i="7"/>
  <c r="J28" i="12" s="1"/>
  <c r="I155" i="7"/>
  <c r="I28" i="12" s="1"/>
  <c r="H155" i="7"/>
  <c r="H28" i="12" s="1"/>
  <c r="G155" i="7"/>
  <c r="G28" i="12" s="1"/>
  <c r="F155" i="7"/>
  <c r="F28" i="12" s="1"/>
  <c r="E155" i="7"/>
  <c r="B74" i="16" s="1"/>
  <c r="E281" i="7" l="1"/>
  <c r="B76" i="16" s="1"/>
  <c r="E28" i="12"/>
  <c r="J58" i="12"/>
  <c r="J162" i="12" s="1"/>
  <c r="N58" i="12"/>
  <c r="N162" i="12" s="1"/>
  <c r="R58" i="12"/>
  <c r="R162" i="12" s="1"/>
  <c r="L59" i="12"/>
  <c r="L163" i="12" s="1"/>
  <c r="P59" i="12"/>
  <c r="P163" i="12" s="1"/>
  <c r="J60" i="12"/>
  <c r="J164" i="12" s="1"/>
  <c r="N60" i="12"/>
  <c r="N164" i="12" s="1"/>
  <c r="R60" i="12"/>
  <c r="R164" i="12" s="1"/>
  <c r="L61" i="12"/>
  <c r="L165" i="12" s="1"/>
  <c r="P61" i="12"/>
  <c r="P165" i="12" s="1"/>
  <c r="J62" i="12"/>
  <c r="J166" i="12" s="1"/>
  <c r="N62" i="12"/>
  <c r="N166" i="12" s="1"/>
  <c r="R62" i="12"/>
  <c r="R166" i="12" s="1"/>
  <c r="P62" i="12"/>
  <c r="P166" i="12" s="1"/>
  <c r="L58" i="12"/>
  <c r="L162" i="12" s="1"/>
  <c r="P58" i="12"/>
  <c r="P162" i="12" s="1"/>
  <c r="J59" i="12"/>
  <c r="J163" i="12" s="1"/>
  <c r="N59" i="12"/>
  <c r="N163" i="12" s="1"/>
  <c r="R59" i="12"/>
  <c r="R163" i="12" s="1"/>
  <c r="L62" i="12"/>
  <c r="L40" i="12"/>
  <c r="L156" i="12" s="1"/>
  <c r="R41" i="12"/>
  <c r="R157" i="12" s="1"/>
  <c r="P42" i="12"/>
  <c r="P158" i="12" s="1"/>
  <c r="N43" i="12"/>
  <c r="N159" i="12" s="1"/>
  <c r="K58" i="12"/>
  <c r="K162" i="12" s="1"/>
  <c r="O58" i="12"/>
  <c r="O162" i="12" s="1"/>
  <c r="S58" i="12"/>
  <c r="S162" i="12" s="1"/>
  <c r="M61" i="12"/>
  <c r="M165" i="12" s="1"/>
  <c r="Q61" i="12"/>
  <c r="Q165" i="12" s="1"/>
  <c r="K62" i="12"/>
  <c r="K166" i="12" s="1"/>
  <c r="O62" i="12"/>
  <c r="O166" i="12" s="1"/>
  <c r="S62" i="12"/>
  <c r="S166" i="12" s="1"/>
  <c r="P40" i="12"/>
  <c r="P156" i="12" s="1"/>
  <c r="N41" i="12"/>
  <c r="N157" i="12" s="1"/>
  <c r="L42" i="12"/>
  <c r="L158" i="12" s="1"/>
  <c r="J43" i="12"/>
  <c r="J159" i="12" s="1"/>
  <c r="R43" i="12"/>
  <c r="R159" i="12" s="1"/>
  <c r="K41" i="12"/>
  <c r="K157" i="12" s="1"/>
  <c r="O41" i="12"/>
  <c r="O157" i="12" s="1"/>
  <c r="S41" i="12"/>
  <c r="S157" i="12" s="1"/>
  <c r="M42" i="12"/>
  <c r="M158" i="12" s="1"/>
  <c r="Q42" i="12"/>
  <c r="Q158" i="12" s="1"/>
  <c r="K43" i="12"/>
  <c r="K159" i="12" s="1"/>
  <c r="O43" i="12"/>
  <c r="O159" i="12" s="1"/>
  <c r="S43" i="12"/>
  <c r="S159" i="12" s="1"/>
  <c r="M44" i="12"/>
  <c r="M160" i="12" s="1"/>
  <c r="Q44" i="12"/>
  <c r="Q160" i="12" s="1"/>
  <c r="L60" i="12"/>
  <c r="L164" i="12" s="1"/>
  <c r="P60" i="12"/>
  <c r="P164" i="12" s="1"/>
  <c r="J61" i="12"/>
  <c r="N61" i="12"/>
  <c r="N165" i="12" s="1"/>
  <c r="R61" i="12"/>
  <c r="R165" i="12" s="1"/>
  <c r="K40" i="12"/>
  <c r="K156" i="12" s="1"/>
  <c r="O40" i="12"/>
  <c r="O156" i="12" s="1"/>
  <c r="S40" i="12"/>
  <c r="S156" i="12" s="1"/>
  <c r="M41" i="12"/>
  <c r="M157" i="12" s="1"/>
  <c r="Q41" i="12"/>
  <c r="Q157" i="12" s="1"/>
  <c r="K42" i="12"/>
  <c r="K158" i="12" s="1"/>
  <c r="O42" i="12"/>
  <c r="O158" i="12" s="1"/>
  <c r="S42" i="12"/>
  <c r="S158" i="12" s="1"/>
  <c r="M43" i="12"/>
  <c r="M159" i="12" s="1"/>
  <c r="Q43" i="12"/>
  <c r="Q159" i="12" s="1"/>
  <c r="K44" i="12"/>
  <c r="K160" i="12" s="1"/>
  <c r="O44" i="12"/>
  <c r="O160" i="12" s="1"/>
  <c r="S44" i="12"/>
  <c r="S160" i="12" s="1"/>
  <c r="M58" i="12"/>
  <c r="Q58" i="12"/>
  <c r="Q162" i="12" s="1"/>
  <c r="K59" i="12"/>
  <c r="K163" i="12" s="1"/>
  <c r="O59" i="12"/>
  <c r="O163" i="12" s="1"/>
  <c r="S59" i="12"/>
  <c r="S163" i="12" s="1"/>
  <c r="M60" i="12"/>
  <c r="M164" i="12" s="1"/>
  <c r="Q60" i="12"/>
  <c r="Q164" i="12" s="1"/>
  <c r="K61" i="12"/>
  <c r="K165" i="12" s="1"/>
  <c r="O61" i="12"/>
  <c r="O165" i="12" s="1"/>
  <c r="S61" i="12"/>
  <c r="S165" i="12" s="1"/>
  <c r="M62" i="12"/>
  <c r="M166" i="12" s="1"/>
  <c r="Q62" i="12"/>
  <c r="Q166" i="12" s="1"/>
  <c r="M59" i="12"/>
  <c r="M163" i="12" s="1"/>
  <c r="Q59" i="12"/>
  <c r="Q163" i="12" s="1"/>
  <c r="K60" i="12"/>
  <c r="O60" i="12"/>
  <c r="O164" i="12" s="1"/>
  <c r="S60" i="12"/>
  <c r="S164" i="12" s="1"/>
  <c r="M40" i="12"/>
  <c r="M156" i="12" s="1"/>
  <c r="Q40" i="12"/>
  <c r="Q156" i="12" s="1"/>
  <c r="J40" i="12"/>
  <c r="J156" i="12" s="1"/>
  <c r="R40" i="12"/>
  <c r="R156" i="12" s="1"/>
  <c r="P41" i="12"/>
  <c r="P157" i="12" s="1"/>
  <c r="N42" i="12"/>
  <c r="N158" i="12" s="1"/>
  <c r="P43" i="12"/>
  <c r="P159" i="12" s="1"/>
  <c r="N44" i="12"/>
  <c r="N160" i="12" s="1"/>
  <c r="J41" i="12"/>
  <c r="J157" i="12" s="1"/>
  <c r="P44" i="12"/>
  <c r="P160" i="12" s="1"/>
  <c r="N40" i="12"/>
  <c r="N156" i="12" s="1"/>
  <c r="L41" i="12"/>
  <c r="L157" i="12" s="1"/>
  <c r="J42" i="12"/>
  <c r="R42" i="12"/>
  <c r="R158" i="12" s="1"/>
  <c r="L43" i="12"/>
  <c r="L159" i="12" s="1"/>
  <c r="J44" i="12"/>
  <c r="J160" i="12" s="1"/>
  <c r="R44" i="12"/>
  <c r="R160" i="12" s="1"/>
  <c r="L44" i="12"/>
  <c r="L160" i="12" s="1"/>
  <c r="B73" i="16"/>
  <c r="E34" i="12" l="1"/>
  <c r="H43" i="12"/>
  <c r="H159" i="12" s="1"/>
  <c r="H60" i="12"/>
  <c r="H164" i="12" s="1"/>
  <c r="K164" i="12"/>
  <c r="H62" i="12"/>
  <c r="H166" i="12" s="1"/>
  <c r="L166" i="12"/>
  <c r="H58" i="12"/>
  <c r="H162" i="12" s="1"/>
  <c r="M162" i="12"/>
  <c r="H61" i="12"/>
  <c r="H165" i="12" s="1"/>
  <c r="J165" i="12"/>
  <c r="H59" i="12"/>
  <c r="H163" i="12" s="1"/>
  <c r="H41" i="12"/>
  <c r="H157" i="12" s="1"/>
  <c r="H42" i="12"/>
  <c r="H158" i="12" s="1"/>
  <c r="J158" i="12"/>
  <c r="H44" i="12"/>
  <c r="H160" i="12" s="1"/>
  <c r="H40" i="12"/>
  <c r="H156" i="12" s="1"/>
  <c r="A1" i="16" l="1"/>
  <c r="B5" i="13" s="1"/>
  <c r="G279" i="7" l="1"/>
  <c r="E279" i="7"/>
  <c r="G278" i="7"/>
  <c r="E278" i="7"/>
  <c r="G277" i="7"/>
  <c r="E277" i="7"/>
  <c r="G276" i="7"/>
  <c r="E276" i="7"/>
  <c r="G275" i="7"/>
  <c r="E275" i="7"/>
  <c r="G273" i="7"/>
  <c r="E273" i="7"/>
  <c r="G272" i="7"/>
  <c r="E272" i="7"/>
  <c r="G271" i="7"/>
  <c r="E271" i="7"/>
  <c r="G270" i="7"/>
  <c r="E270" i="7"/>
  <c r="G269" i="7"/>
  <c r="E269" i="7"/>
  <c r="S267" i="7"/>
  <c r="R267" i="7"/>
  <c r="Q267" i="7"/>
  <c r="P267" i="7"/>
  <c r="O267" i="7"/>
  <c r="N267" i="7"/>
  <c r="M267" i="7"/>
  <c r="L267" i="7"/>
  <c r="K267" i="7"/>
  <c r="J267" i="7"/>
  <c r="I267" i="7"/>
  <c r="H267" i="7"/>
  <c r="G267" i="7"/>
  <c r="F267" i="7"/>
  <c r="E267" i="7"/>
  <c r="S266" i="7"/>
  <c r="R266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S265" i="7"/>
  <c r="R265" i="7"/>
  <c r="Q265" i="7"/>
  <c r="P265" i="7"/>
  <c r="O265" i="7"/>
  <c r="N265" i="7"/>
  <c r="M265" i="7"/>
  <c r="L265" i="7"/>
  <c r="K265" i="7"/>
  <c r="J265" i="7"/>
  <c r="I265" i="7"/>
  <c r="H265" i="7"/>
  <c r="G265" i="7"/>
  <c r="F265" i="7"/>
  <c r="E265" i="7"/>
  <c r="S264" i="7"/>
  <c r="R264" i="7"/>
  <c r="Q264" i="7"/>
  <c r="P264" i="7"/>
  <c r="O264" i="7"/>
  <c r="N264" i="7"/>
  <c r="M264" i="7"/>
  <c r="L264" i="7"/>
  <c r="K264" i="7"/>
  <c r="J264" i="7"/>
  <c r="I264" i="7"/>
  <c r="H264" i="7"/>
  <c r="G264" i="7"/>
  <c r="F264" i="7"/>
  <c r="E264" i="7"/>
  <c r="S263" i="7"/>
  <c r="R263" i="7"/>
  <c r="Q263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S261" i="7"/>
  <c r="R261" i="7"/>
  <c r="Q261" i="7"/>
  <c r="P261" i="7"/>
  <c r="O261" i="7"/>
  <c r="N261" i="7"/>
  <c r="M261" i="7"/>
  <c r="L261" i="7"/>
  <c r="K261" i="7"/>
  <c r="J261" i="7"/>
  <c r="I261" i="7"/>
  <c r="H261" i="7"/>
  <c r="G261" i="7"/>
  <c r="F261" i="7"/>
  <c r="E261" i="7"/>
  <c r="S260" i="7"/>
  <c r="R260" i="7"/>
  <c r="Q260" i="7"/>
  <c r="P260" i="7"/>
  <c r="O260" i="7"/>
  <c r="N260" i="7"/>
  <c r="M260" i="7"/>
  <c r="L260" i="7"/>
  <c r="K260" i="7"/>
  <c r="J260" i="7"/>
  <c r="I260" i="7"/>
  <c r="H260" i="7"/>
  <c r="G260" i="7"/>
  <c r="F260" i="7"/>
  <c r="E260" i="7"/>
  <c r="S259" i="7"/>
  <c r="R259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S257" i="7"/>
  <c r="R257" i="7"/>
  <c r="Q257" i="7"/>
  <c r="P257" i="7"/>
  <c r="O257" i="7"/>
  <c r="N257" i="7"/>
  <c r="M257" i="7"/>
  <c r="L257" i="7"/>
  <c r="K257" i="7"/>
  <c r="J257" i="7"/>
  <c r="I257" i="7"/>
  <c r="H257" i="7"/>
  <c r="G257" i="7"/>
  <c r="F257" i="7"/>
  <c r="E257" i="7"/>
  <c r="G153" i="7"/>
  <c r="F153" i="7"/>
  <c r="E153" i="7"/>
  <c r="G147" i="7"/>
  <c r="F147" i="7"/>
  <c r="E147" i="7"/>
  <c r="G152" i="7"/>
  <c r="F152" i="7"/>
  <c r="E152" i="7"/>
  <c r="G146" i="7"/>
  <c r="F146" i="7"/>
  <c r="E146" i="7"/>
  <c r="G151" i="7"/>
  <c r="F151" i="7"/>
  <c r="E151" i="7"/>
  <c r="G145" i="7"/>
  <c r="F145" i="7"/>
  <c r="E145" i="7"/>
  <c r="G150" i="7"/>
  <c r="F150" i="7"/>
  <c r="E150" i="7"/>
  <c r="G144" i="7"/>
  <c r="F144" i="7"/>
  <c r="E144" i="7"/>
  <c r="Q138" i="7"/>
  <c r="R138" i="7"/>
  <c r="S138" i="7"/>
  <c r="S135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S134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Q132" i="7"/>
  <c r="R132" i="7"/>
  <c r="S132" i="7"/>
  <c r="Q133" i="7"/>
  <c r="R133" i="7"/>
  <c r="S133" i="7"/>
  <c r="Q139" i="7"/>
  <c r="R139" i="7"/>
  <c r="S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G149" i="7"/>
  <c r="F149" i="7"/>
  <c r="E149" i="7"/>
  <c r="G143" i="7"/>
  <c r="E143" i="7"/>
  <c r="Q131" i="7"/>
  <c r="R131" i="7"/>
  <c r="S131" i="7"/>
  <c r="Q137" i="7"/>
  <c r="R137" i="7"/>
  <c r="S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F143" i="7"/>
  <c r="E41" i="15" l="1"/>
  <c r="E45" i="15"/>
  <c r="E49" i="15"/>
  <c r="E42" i="15"/>
  <c r="E46" i="15"/>
  <c r="E50" i="15"/>
  <c r="E43" i="15"/>
  <c r="E47" i="15"/>
  <c r="E44" i="15"/>
  <c r="E48" i="15"/>
  <c r="S251" i="7" l="1"/>
  <c r="R251" i="7"/>
  <c r="Q251" i="7"/>
  <c r="K251" i="7"/>
  <c r="J251" i="7"/>
  <c r="I251" i="7"/>
  <c r="H251" i="7"/>
  <c r="G251" i="7"/>
  <c r="F251" i="7"/>
  <c r="S250" i="7"/>
  <c r="R250" i="7"/>
  <c r="Q250" i="7"/>
  <c r="P250" i="7"/>
  <c r="F35" i="15" s="1"/>
  <c r="O250" i="7"/>
  <c r="F34" i="15" s="1"/>
  <c r="N250" i="7"/>
  <c r="F33" i="15" s="1"/>
  <c r="M250" i="7"/>
  <c r="F32" i="15" s="1"/>
  <c r="L250" i="7"/>
  <c r="F31" i="15" s="1"/>
  <c r="K250" i="7"/>
  <c r="J250" i="7"/>
  <c r="I250" i="7"/>
  <c r="H250" i="7"/>
  <c r="G250" i="7"/>
  <c r="F250" i="7"/>
  <c r="S249" i="7"/>
  <c r="R249" i="7"/>
  <c r="Q249" i="7"/>
  <c r="K249" i="7"/>
  <c r="J249" i="7"/>
  <c r="I249" i="7"/>
  <c r="H249" i="7"/>
  <c r="G249" i="7"/>
  <c r="F249" i="7"/>
  <c r="E251" i="7"/>
  <c r="E250" i="7"/>
  <c r="E249" i="7"/>
  <c r="S125" i="7" l="1"/>
  <c r="R125" i="7"/>
  <c r="Q125" i="7"/>
  <c r="K125" i="7"/>
  <c r="J125" i="7"/>
  <c r="I125" i="7"/>
  <c r="H125" i="7"/>
  <c r="G125" i="7"/>
  <c r="F125" i="7"/>
  <c r="E125" i="7"/>
  <c r="S124" i="7"/>
  <c r="R124" i="7"/>
  <c r="Q124" i="7"/>
  <c r="K124" i="7"/>
  <c r="J124" i="7"/>
  <c r="I124" i="7"/>
  <c r="H124" i="7"/>
  <c r="G124" i="7"/>
  <c r="F124" i="7"/>
  <c r="E124" i="7"/>
  <c r="S123" i="7"/>
  <c r="R123" i="7"/>
  <c r="Q123" i="7"/>
  <c r="K123" i="7"/>
  <c r="J123" i="7"/>
  <c r="I123" i="7"/>
  <c r="H123" i="7"/>
  <c r="G123" i="7"/>
  <c r="F123" i="7"/>
  <c r="E123" i="7"/>
  <c r="S245" i="7"/>
  <c r="S244" i="7"/>
  <c r="S243" i="7"/>
  <c r="S247" i="7"/>
  <c r="S119" i="7"/>
  <c r="S118" i="7"/>
  <c r="S117" i="7"/>
  <c r="S121" i="7"/>
  <c r="O124" i="7" l="1"/>
  <c r="E34" i="15"/>
  <c r="L125" i="7"/>
  <c r="E36" i="15"/>
  <c r="P125" i="7"/>
  <c r="E40" i="15"/>
  <c r="O123" i="7"/>
  <c r="E29" i="15"/>
  <c r="L124" i="7"/>
  <c r="E31" i="15"/>
  <c r="P124" i="7"/>
  <c r="E35" i="15"/>
  <c r="M125" i="7"/>
  <c r="E37" i="15"/>
  <c r="N123" i="7"/>
  <c r="E28" i="15"/>
  <c r="L123" i="7"/>
  <c r="E26" i="15"/>
  <c r="P123" i="7"/>
  <c r="E30" i="15"/>
  <c r="M124" i="7"/>
  <c r="E32" i="15"/>
  <c r="N125" i="7"/>
  <c r="E38" i="15"/>
  <c r="M123" i="7"/>
  <c r="E27" i="15"/>
  <c r="N124" i="7"/>
  <c r="E33" i="15"/>
  <c r="O125" i="7"/>
  <c r="E39" i="15"/>
  <c r="S107" i="7"/>
  <c r="S106" i="7"/>
  <c r="S109" i="7"/>
  <c r="S112" i="7" l="1"/>
  <c r="S113" i="7"/>
  <c r="S108" i="7"/>
  <c r="S105" i="7"/>
  <c r="S111" i="7" l="1"/>
  <c r="S114" i="7"/>
  <c r="S115" i="7"/>
  <c r="S123" i="12" l="1"/>
  <c r="R123" i="12"/>
  <c r="Q123" i="12"/>
  <c r="P123" i="12"/>
  <c r="O123" i="12"/>
  <c r="N123" i="12"/>
  <c r="M123" i="12"/>
  <c r="L123" i="12"/>
  <c r="K123" i="12"/>
  <c r="J123" i="12"/>
  <c r="I123" i="12"/>
  <c r="G123" i="12"/>
  <c r="F123" i="12"/>
  <c r="E123" i="12"/>
  <c r="S114" i="12"/>
  <c r="R114" i="12"/>
  <c r="Q114" i="12"/>
  <c r="P114" i="12"/>
  <c r="O114" i="12"/>
  <c r="N114" i="12"/>
  <c r="M114" i="12"/>
  <c r="L114" i="12"/>
  <c r="K114" i="12"/>
  <c r="J114" i="12"/>
  <c r="I114" i="12"/>
  <c r="G114" i="12"/>
  <c r="F114" i="12"/>
  <c r="E114" i="12"/>
  <c r="S105" i="12"/>
  <c r="R105" i="12"/>
  <c r="Q105" i="12"/>
  <c r="P105" i="12"/>
  <c r="O105" i="12"/>
  <c r="N105" i="12"/>
  <c r="M105" i="12"/>
  <c r="L105" i="12"/>
  <c r="K105" i="12"/>
  <c r="J105" i="12"/>
  <c r="I105" i="12"/>
  <c r="G105" i="12"/>
  <c r="F105" i="12"/>
  <c r="E105" i="12"/>
  <c r="S96" i="12"/>
  <c r="R96" i="12"/>
  <c r="Q96" i="12"/>
  <c r="P96" i="12"/>
  <c r="O96" i="12"/>
  <c r="N96" i="12"/>
  <c r="M96" i="12"/>
  <c r="L96" i="12"/>
  <c r="K96" i="12"/>
  <c r="J96" i="12"/>
  <c r="I96" i="12"/>
  <c r="G96" i="12"/>
  <c r="F96" i="12"/>
  <c r="E96" i="12"/>
  <c r="S87" i="12"/>
  <c r="R87" i="12"/>
  <c r="Q87" i="12"/>
  <c r="P87" i="12"/>
  <c r="O87" i="12"/>
  <c r="N87" i="12"/>
  <c r="M87" i="12"/>
  <c r="L87" i="12"/>
  <c r="K87" i="12"/>
  <c r="J87" i="12"/>
  <c r="I87" i="12"/>
  <c r="G87" i="12"/>
  <c r="F87" i="12"/>
  <c r="E87" i="12"/>
  <c r="H39" i="7"/>
  <c r="H123" i="12" s="1"/>
  <c r="H38" i="7"/>
  <c r="H114" i="12" s="1"/>
  <c r="H37" i="7"/>
  <c r="H105" i="12" s="1"/>
  <c r="H36" i="7"/>
  <c r="H96" i="12" s="1"/>
  <c r="H35" i="7"/>
  <c r="H87" i="12" s="1"/>
  <c r="G255" i="7"/>
  <c r="E255" i="7"/>
  <c r="G129" i="7" l="1"/>
  <c r="E129" i="7"/>
  <c r="F129" i="7" l="1"/>
  <c r="E15" i="15" s="1"/>
  <c r="G18" i="9" l="1"/>
  <c r="E18" i="9"/>
  <c r="G17" i="9"/>
  <c r="E17" i="9"/>
  <c r="G16" i="9"/>
  <c r="E16" i="9"/>
  <c r="G15" i="9"/>
  <c r="E15" i="9"/>
  <c r="G14" i="9"/>
  <c r="E14" i="9"/>
  <c r="E3" i="15"/>
  <c r="G253" i="7" l="1"/>
  <c r="F253" i="7"/>
  <c r="F14" i="15" s="1"/>
  <c r="E253" i="7"/>
  <c r="G127" i="7"/>
  <c r="F127" i="7"/>
  <c r="E14" i="15" s="1"/>
  <c r="E127" i="7"/>
  <c r="A1" i="15"/>
  <c r="H5" i="13" s="1"/>
  <c r="S81" i="12" l="1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G13" i="14" l="1"/>
  <c r="F13" i="14"/>
  <c r="E13" i="14"/>
  <c r="G12" i="14"/>
  <c r="F12" i="14"/>
  <c r="E12" i="14"/>
  <c r="G11" i="14"/>
  <c r="F11" i="14"/>
  <c r="E11" i="14"/>
  <c r="G10" i="14"/>
  <c r="F10" i="14"/>
  <c r="E10" i="14"/>
  <c r="G25" i="14"/>
  <c r="F25" i="14"/>
  <c r="E25" i="14"/>
  <c r="G24" i="14"/>
  <c r="F24" i="14"/>
  <c r="E24" i="14"/>
  <c r="G23" i="14"/>
  <c r="F23" i="14"/>
  <c r="E23" i="14"/>
  <c r="G22" i="14"/>
  <c r="F22" i="14"/>
  <c r="E22" i="14"/>
  <c r="G21" i="14"/>
  <c r="F21" i="14"/>
  <c r="E21" i="14"/>
  <c r="G19" i="14"/>
  <c r="F19" i="14"/>
  <c r="E19" i="14"/>
  <c r="G18" i="14"/>
  <c r="F18" i="14"/>
  <c r="E18" i="14"/>
  <c r="G17" i="14"/>
  <c r="F17" i="14"/>
  <c r="E17" i="14"/>
  <c r="G16" i="14"/>
  <c r="F16" i="14"/>
  <c r="E16" i="14"/>
  <c r="G15" i="14"/>
  <c r="F15" i="14"/>
  <c r="E15" i="14"/>
  <c r="G9" i="14"/>
  <c r="F9" i="14"/>
  <c r="E9" i="14"/>
  <c r="H30" i="14"/>
  <c r="H29" i="14"/>
  <c r="H28" i="14"/>
  <c r="J5" i="14"/>
  <c r="A1" i="14"/>
  <c r="H11" i="13" s="1"/>
  <c r="E4" i="15"/>
  <c r="K14" i="14" l="1"/>
  <c r="K20" i="14"/>
  <c r="S65" i="12" l="1"/>
  <c r="R65" i="12"/>
  <c r="Q65" i="12"/>
  <c r="P65" i="12"/>
  <c r="O65" i="12"/>
  <c r="N65" i="12"/>
  <c r="M65" i="12"/>
  <c r="L65" i="12"/>
  <c r="K65" i="12"/>
  <c r="I65" i="12"/>
  <c r="H65" i="12"/>
  <c r="G65" i="12"/>
  <c r="F65" i="12"/>
  <c r="E65" i="12"/>
  <c r="J65" i="12"/>
  <c r="G82" i="12"/>
  <c r="E82" i="12"/>
  <c r="F82" i="12"/>
  <c r="S83" i="12" s="1"/>
  <c r="S124" i="12" s="1"/>
  <c r="G78" i="12"/>
  <c r="E78" i="12"/>
  <c r="F78" i="12"/>
  <c r="R79" i="12" s="1"/>
  <c r="R115" i="12" s="1"/>
  <c r="G74" i="12"/>
  <c r="E74" i="12"/>
  <c r="F74" i="12"/>
  <c r="M75" i="12" s="1"/>
  <c r="M106" i="12" s="1"/>
  <c r="G70" i="12"/>
  <c r="E70" i="12"/>
  <c r="F70" i="12"/>
  <c r="R71" i="12" s="1"/>
  <c r="R97" i="12" s="1"/>
  <c r="G66" i="12"/>
  <c r="E66" i="12"/>
  <c r="F66" i="12"/>
  <c r="R67" i="12" s="1"/>
  <c r="R88" i="12" s="1"/>
  <c r="I186" i="12"/>
  <c r="H186" i="12"/>
  <c r="G186" i="12"/>
  <c r="F186" i="12"/>
  <c r="E186" i="12"/>
  <c r="I185" i="12"/>
  <c r="H185" i="12"/>
  <c r="G185" i="12"/>
  <c r="F185" i="12"/>
  <c r="E185" i="12"/>
  <c r="I184" i="12"/>
  <c r="H184" i="12"/>
  <c r="G184" i="12"/>
  <c r="F184" i="12"/>
  <c r="E184" i="12"/>
  <c r="I183" i="12"/>
  <c r="H183" i="12"/>
  <c r="G183" i="12"/>
  <c r="F183" i="12"/>
  <c r="E183" i="12"/>
  <c r="I182" i="12"/>
  <c r="H182" i="12"/>
  <c r="G182" i="12"/>
  <c r="F182" i="12"/>
  <c r="E182" i="12"/>
  <c r="G180" i="12"/>
  <c r="F180" i="12"/>
  <c r="E180" i="12"/>
  <c r="I172" i="12"/>
  <c r="G172" i="12"/>
  <c r="F172" i="12"/>
  <c r="E172" i="12"/>
  <c r="I171" i="12"/>
  <c r="G171" i="12"/>
  <c r="F171" i="12"/>
  <c r="E171" i="12"/>
  <c r="I170" i="12"/>
  <c r="G170" i="12"/>
  <c r="F170" i="12"/>
  <c r="E170" i="12"/>
  <c r="I169" i="12"/>
  <c r="G169" i="12"/>
  <c r="F169" i="12"/>
  <c r="E169" i="12"/>
  <c r="I168" i="12"/>
  <c r="G168" i="12"/>
  <c r="F168" i="12"/>
  <c r="E168" i="12"/>
  <c r="I154" i="12"/>
  <c r="G154" i="12"/>
  <c r="F154" i="12"/>
  <c r="E154" i="12"/>
  <c r="I153" i="12"/>
  <c r="G153" i="12"/>
  <c r="F153" i="12"/>
  <c r="E153" i="12"/>
  <c r="I152" i="12"/>
  <c r="G152" i="12"/>
  <c r="F152" i="12"/>
  <c r="E152" i="12"/>
  <c r="I151" i="12"/>
  <c r="G151" i="12"/>
  <c r="F151" i="12"/>
  <c r="E151" i="12"/>
  <c r="I150" i="12"/>
  <c r="G150" i="12"/>
  <c r="F150" i="12"/>
  <c r="E150" i="12"/>
  <c r="I127" i="12"/>
  <c r="G127" i="12"/>
  <c r="F127" i="12"/>
  <c r="E127" i="12"/>
  <c r="I124" i="12"/>
  <c r="H124" i="12"/>
  <c r="G124" i="12"/>
  <c r="F124" i="12"/>
  <c r="E124" i="12"/>
  <c r="I122" i="12"/>
  <c r="G122" i="12"/>
  <c r="F122" i="12"/>
  <c r="E122" i="12"/>
  <c r="I118" i="12"/>
  <c r="G118" i="12"/>
  <c r="F118" i="12"/>
  <c r="E118" i="12"/>
  <c r="I115" i="12"/>
  <c r="H115" i="12"/>
  <c r="G115" i="12"/>
  <c r="F115" i="12"/>
  <c r="E115" i="12"/>
  <c r="I113" i="12"/>
  <c r="G113" i="12"/>
  <c r="F113" i="12"/>
  <c r="E113" i="12"/>
  <c r="I109" i="12"/>
  <c r="G109" i="12"/>
  <c r="F109" i="12"/>
  <c r="E109" i="12"/>
  <c r="I106" i="12"/>
  <c r="H106" i="12"/>
  <c r="G106" i="12"/>
  <c r="F106" i="12"/>
  <c r="E106" i="12"/>
  <c r="I104" i="12"/>
  <c r="G104" i="12"/>
  <c r="F104" i="12"/>
  <c r="E104" i="12"/>
  <c r="I100" i="12"/>
  <c r="G100" i="12"/>
  <c r="F100" i="12"/>
  <c r="E100" i="12"/>
  <c r="I97" i="12"/>
  <c r="H97" i="12"/>
  <c r="G97" i="12"/>
  <c r="F97" i="12"/>
  <c r="E97" i="12"/>
  <c r="I95" i="12"/>
  <c r="G95" i="12"/>
  <c r="F95" i="12"/>
  <c r="E95" i="12"/>
  <c r="I88" i="12"/>
  <c r="H88" i="12"/>
  <c r="G88" i="12"/>
  <c r="F88" i="12"/>
  <c r="E88" i="12"/>
  <c r="I86" i="12"/>
  <c r="G86" i="12"/>
  <c r="F86" i="12"/>
  <c r="E86" i="12"/>
  <c r="I91" i="12"/>
  <c r="G91" i="12"/>
  <c r="F91" i="12"/>
  <c r="E91" i="12"/>
  <c r="M79" i="12" l="1"/>
  <c r="M115" i="12" s="1"/>
  <c r="N79" i="12"/>
  <c r="N115" i="12" s="1"/>
  <c r="Q79" i="12"/>
  <c r="Q115" i="12" s="1"/>
  <c r="J79" i="12"/>
  <c r="J115" i="12" s="1"/>
  <c r="P83" i="12"/>
  <c r="P124" i="12" s="1"/>
  <c r="K79" i="12"/>
  <c r="K115" i="12" s="1"/>
  <c r="O79" i="12"/>
  <c r="O115" i="12" s="1"/>
  <c r="S79" i="12"/>
  <c r="S115" i="12" s="1"/>
  <c r="L79" i="12"/>
  <c r="L115" i="12" s="1"/>
  <c r="P79" i="12"/>
  <c r="P115" i="12" s="1"/>
  <c r="O71" i="12"/>
  <c r="O97" i="12" s="1"/>
  <c r="L71" i="12"/>
  <c r="L97" i="12" s="1"/>
  <c r="Q67" i="12"/>
  <c r="Q88" i="12" s="1"/>
  <c r="M67" i="12"/>
  <c r="M88" i="12" s="1"/>
  <c r="P71" i="12"/>
  <c r="P97" i="12" s="1"/>
  <c r="L83" i="12"/>
  <c r="L124" i="12" s="1"/>
  <c r="K71" i="12"/>
  <c r="K97" i="12" s="1"/>
  <c r="S71" i="12"/>
  <c r="S97" i="12" s="1"/>
  <c r="S67" i="12"/>
  <c r="S88" i="12" s="1"/>
  <c r="M83" i="12"/>
  <c r="M124" i="12" s="1"/>
  <c r="Q83" i="12"/>
  <c r="Q124" i="12" s="1"/>
  <c r="J67" i="12"/>
  <c r="J88" i="12" s="1"/>
  <c r="O67" i="12"/>
  <c r="O88" i="12" s="1"/>
  <c r="J83" i="12"/>
  <c r="J124" i="12" s="1"/>
  <c r="N83" i="12"/>
  <c r="N124" i="12" s="1"/>
  <c r="R83" i="12"/>
  <c r="R124" i="12" s="1"/>
  <c r="P75" i="12"/>
  <c r="P106" i="12" s="1"/>
  <c r="N67" i="12"/>
  <c r="N88" i="12" s="1"/>
  <c r="K67" i="12"/>
  <c r="K88" i="12" s="1"/>
  <c r="K83" i="12"/>
  <c r="K124" i="12" s="1"/>
  <c r="O83" i="12"/>
  <c r="O124" i="12" s="1"/>
  <c r="L67" i="12"/>
  <c r="L88" i="12" s="1"/>
  <c r="P67" i="12"/>
  <c r="P88" i="12" s="1"/>
  <c r="Q75" i="12"/>
  <c r="Q106" i="12" s="1"/>
  <c r="N75" i="12"/>
  <c r="N106" i="12" s="1"/>
  <c r="R75" i="12"/>
  <c r="R106" i="12" s="1"/>
  <c r="M71" i="12"/>
  <c r="M97" i="12" s="1"/>
  <c r="Q71" i="12"/>
  <c r="Q97" i="12" s="1"/>
  <c r="K75" i="12"/>
  <c r="K106" i="12" s="1"/>
  <c r="O75" i="12"/>
  <c r="O106" i="12" s="1"/>
  <c r="S75" i="12"/>
  <c r="S106" i="12" s="1"/>
  <c r="J75" i="12"/>
  <c r="J106" i="12" s="1"/>
  <c r="J71" i="12"/>
  <c r="J97" i="12" s="1"/>
  <c r="N71" i="12"/>
  <c r="N97" i="12" s="1"/>
  <c r="L75" i="12"/>
  <c r="L106" i="12" s="1"/>
  <c r="S135" i="12" l="1"/>
  <c r="S134" i="12"/>
  <c r="S133" i="12"/>
  <c r="S132" i="12"/>
  <c r="S131" i="12"/>
  <c r="R245" i="7"/>
  <c r="Q245" i="7"/>
  <c r="P245" i="7"/>
  <c r="O245" i="7"/>
  <c r="N245" i="7"/>
  <c r="M245" i="7"/>
  <c r="L245" i="7"/>
  <c r="K245" i="7"/>
  <c r="J245" i="7"/>
  <c r="I245" i="7"/>
  <c r="H245" i="7"/>
  <c r="R244" i="7"/>
  <c r="Q244" i="7"/>
  <c r="P244" i="7"/>
  <c r="O244" i="7"/>
  <c r="N244" i="7"/>
  <c r="M244" i="7"/>
  <c r="L244" i="7"/>
  <c r="K244" i="7"/>
  <c r="J244" i="7"/>
  <c r="I244" i="7"/>
  <c r="H244" i="7"/>
  <c r="R243" i="7"/>
  <c r="Q243" i="7"/>
  <c r="P243" i="7"/>
  <c r="O243" i="7"/>
  <c r="N243" i="7"/>
  <c r="M243" i="7"/>
  <c r="L243" i="7"/>
  <c r="K243" i="7"/>
  <c r="J243" i="7"/>
  <c r="I243" i="7"/>
  <c r="H243" i="7"/>
  <c r="H117" i="7"/>
  <c r="I117" i="7"/>
  <c r="J117" i="7"/>
  <c r="K117" i="7"/>
  <c r="L117" i="7"/>
  <c r="M117" i="7"/>
  <c r="N117" i="7"/>
  <c r="O117" i="7"/>
  <c r="P117" i="7"/>
  <c r="Q117" i="7"/>
  <c r="R117" i="7"/>
  <c r="H118" i="7"/>
  <c r="I118" i="7"/>
  <c r="J118" i="7"/>
  <c r="K118" i="7"/>
  <c r="L118" i="7"/>
  <c r="M118" i="7"/>
  <c r="N118" i="7"/>
  <c r="O118" i="7"/>
  <c r="P118" i="7"/>
  <c r="Q118" i="7"/>
  <c r="R118" i="7"/>
  <c r="H119" i="7"/>
  <c r="I119" i="7"/>
  <c r="J119" i="7"/>
  <c r="K119" i="7"/>
  <c r="L119" i="7"/>
  <c r="M119" i="7"/>
  <c r="N119" i="7"/>
  <c r="O119" i="7"/>
  <c r="P119" i="7"/>
  <c r="Q119" i="7"/>
  <c r="R119" i="7"/>
  <c r="S8" i="12"/>
  <c r="S9" i="12"/>
  <c r="S10" i="12"/>
  <c r="S11" i="12"/>
  <c r="S12" i="12"/>
  <c r="R121" i="7"/>
  <c r="Q121" i="7"/>
  <c r="P121" i="7"/>
  <c r="E25" i="15" s="1"/>
  <c r="O121" i="7"/>
  <c r="E24" i="15" s="1"/>
  <c r="N121" i="7"/>
  <c r="E23" i="15" s="1"/>
  <c r="M121" i="7"/>
  <c r="E22" i="15" s="1"/>
  <c r="L121" i="7"/>
  <c r="E21" i="15" s="1"/>
  <c r="K121" i="7"/>
  <c r="J121" i="7"/>
  <c r="I121" i="7"/>
  <c r="H121" i="7"/>
  <c r="G121" i="7"/>
  <c r="F121" i="7"/>
  <c r="E121" i="7"/>
  <c r="G119" i="7"/>
  <c r="F119" i="7"/>
  <c r="E20" i="15" s="1"/>
  <c r="E119" i="7"/>
  <c r="G118" i="7"/>
  <c r="F118" i="7"/>
  <c r="E19" i="15" s="1"/>
  <c r="E118" i="7"/>
  <c r="G117" i="7"/>
  <c r="F117" i="7"/>
  <c r="E18" i="15" s="1"/>
  <c r="E117" i="7"/>
  <c r="I115" i="7"/>
  <c r="I135" i="12" s="1"/>
  <c r="G115" i="7"/>
  <c r="G135" i="12" s="1"/>
  <c r="F115" i="7"/>
  <c r="F135" i="12" s="1"/>
  <c r="E115" i="7"/>
  <c r="I114" i="7"/>
  <c r="I134" i="12" s="1"/>
  <c r="G114" i="7"/>
  <c r="G134" i="12" s="1"/>
  <c r="F114" i="7"/>
  <c r="E114" i="7"/>
  <c r="I113" i="7"/>
  <c r="I133" i="12" s="1"/>
  <c r="G113" i="7"/>
  <c r="G133" i="12" s="1"/>
  <c r="F113" i="7"/>
  <c r="F133" i="12" s="1"/>
  <c r="E113" i="7"/>
  <c r="I112" i="7"/>
  <c r="I132" i="12" s="1"/>
  <c r="G112" i="7"/>
  <c r="G132" i="12" s="1"/>
  <c r="F112" i="7"/>
  <c r="F132" i="12" s="1"/>
  <c r="E112" i="7"/>
  <c r="I111" i="7"/>
  <c r="I131" i="12" s="1"/>
  <c r="G111" i="7"/>
  <c r="G131" i="12" s="1"/>
  <c r="F111" i="7"/>
  <c r="F131" i="12" s="1"/>
  <c r="E111" i="7"/>
  <c r="I109" i="7"/>
  <c r="I12" i="12" s="1"/>
  <c r="G109" i="7"/>
  <c r="G12" i="12" s="1"/>
  <c r="F109" i="7"/>
  <c r="F12" i="12" s="1"/>
  <c r="E109" i="7"/>
  <c r="I108" i="7"/>
  <c r="I11" i="12" s="1"/>
  <c r="G108" i="7"/>
  <c r="G11" i="12" s="1"/>
  <c r="F108" i="7"/>
  <c r="F11" i="12" s="1"/>
  <c r="E108" i="7"/>
  <c r="I107" i="7"/>
  <c r="I10" i="12" s="1"/>
  <c r="G107" i="7"/>
  <c r="G10" i="12" s="1"/>
  <c r="F107" i="7"/>
  <c r="F10" i="12" s="1"/>
  <c r="E107" i="7"/>
  <c r="I106" i="7"/>
  <c r="I9" i="12" s="1"/>
  <c r="G106" i="7"/>
  <c r="G9" i="12" s="1"/>
  <c r="F106" i="7"/>
  <c r="F9" i="12" s="1"/>
  <c r="E106" i="7"/>
  <c r="I105" i="7"/>
  <c r="I8" i="12" s="1"/>
  <c r="G105" i="7"/>
  <c r="G8" i="12" s="1"/>
  <c r="F105" i="7"/>
  <c r="F8" i="12" s="1"/>
  <c r="E105" i="7"/>
  <c r="R247" i="7"/>
  <c r="Q247" i="7"/>
  <c r="P247" i="7"/>
  <c r="F25" i="15" s="1"/>
  <c r="O247" i="7"/>
  <c r="F24" i="15" s="1"/>
  <c r="N247" i="7"/>
  <c r="F23" i="15" s="1"/>
  <c r="M247" i="7"/>
  <c r="F22" i="15" s="1"/>
  <c r="L247" i="7"/>
  <c r="F21" i="15" s="1"/>
  <c r="K247" i="7"/>
  <c r="J247" i="7"/>
  <c r="I247" i="7"/>
  <c r="H247" i="7"/>
  <c r="G247" i="7"/>
  <c r="F247" i="7"/>
  <c r="E247" i="7"/>
  <c r="G245" i="7"/>
  <c r="F245" i="7"/>
  <c r="F20" i="15" s="1"/>
  <c r="E245" i="7"/>
  <c r="G244" i="7"/>
  <c r="F244" i="7"/>
  <c r="F19" i="15" s="1"/>
  <c r="E244" i="7"/>
  <c r="G243" i="7"/>
  <c r="F243" i="7"/>
  <c r="E243" i="7"/>
  <c r="I241" i="7"/>
  <c r="G241" i="7"/>
  <c r="F241" i="7"/>
  <c r="E241" i="7"/>
  <c r="I240" i="7"/>
  <c r="G240" i="7"/>
  <c r="F240" i="7"/>
  <c r="E240" i="7"/>
  <c r="I239" i="7"/>
  <c r="G239" i="7"/>
  <c r="F239" i="7"/>
  <c r="E239" i="7"/>
  <c r="I238" i="7"/>
  <c r="G238" i="7"/>
  <c r="F238" i="7"/>
  <c r="E238" i="7"/>
  <c r="I237" i="7"/>
  <c r="G237" i="7"/>
  <c r="F237" i="7"/>
  <c r="E237" i="7"/>
  <c r="I235" i="7"/>
  <c r="G235" i="7"/>
  <c r="F235" i="7"/>
  <c r="E235" i="7"/>
  <c r="I234" i="7"/>
  <c r="G234" i="7"/>
  <c r="F234" i="7"/>
  <c r="E234" i="7"/>
  <c r="I233" i="7"/>
  <c r="G233" i="7"/>
  <c r="F233" i="7"/>
  <c r="E233" i="7"/>
  <c r="I232" i="7"/>
  <c r="G232" i="7"/>
  <c r="F232" i="7"/>
  <c r="E232" i="7"/>
  <c r="I231" i="7"/>
  <c r="G231" i="7"/>
  <c r="F231" i="7"/>
  <c r="E231" i="7"/>
  <c r="E15" i="12" l="1"/>
  <c r="E137" i="12"/>
  <c r="E139" i="12"/>
  <c r="E141" i="12"/>
  <c r="E16" i="12"/>
  <c r="E138" i="12"/>
  <c r="E140" i="12"/>
  <c r="F14" i="12"/>
  <c r="F15" i="12"/>
  <c r="F16" i="12"/>
  <c r="F17" i="12"/>
  <c r="F18" i="12"/>
  <c r="F137" i="12"/>
  <c r="F138" i="12"/>
  <c r="F139" i="12"/>
  <c r="F140" i="12"/>
  <c r="F141" i="12"/>
  <c r="F18" i="15"/>
  <c r="E18" i="12"/>
  <c r="G14" i="12"/>
  <c r="G15" i="12"/>
  <c r="G16" i="12"/>
  <c r="G17" i="12"/>
  <c r="G18" i="12"/>
  <c r="G137" i="12"/>
  <c r="G138" i="12"/>
  <c r="G139" i="12"/>
  <c r="G140" i="12"/>
  <c r="G141" i="12"/>
  <c r="E14" i="12"/>
  <c r="E17" i="12"/>
  <c r="I14" i="12"/>
  <c r="I15" i="12"/>
  <c r="I16" i="12"/>
  <c r="I17" i="12"/>
  <c r="I18" i="12"/>
  <c r="I137" i="12"/>
  <c r="I138" i="12"/>
  <c r="I139" i="12"/>
  <c r="I140" i="12"/>
  <c r="I141" i="12"/>
  <c r="E8" i="12"/>
  <c r="E9" i="12"/>
  <c r="E10" i="12"/>
  <c r="E11" i="12"/>
  <c r="E12" i="12"/>
  <c r="E131" i="12"/>
  <c r="E132" i="12"/>
  <c r="E133" i="12"/>
  <c r="E134" i="12"/>
  <c r="E135" i="12"/>
  <c r="F134" i="12"/>
  <c r="J235" i="7" l="1"/>
  <c r="J231" i="7"/>
  <c r="J234" i="7"/>
  <c r="J233" i="7"/>
  <c r="J232" i="7"/>
  <c r="J16" i="12" l="1"/>
  <c r="J17" i="12"/>
  <c r="J14" i="12"/>
  <c r="J15" i="12"/>
  <c r="J18" i="12"/>
  <c r="J239" i="7"/>
  <c r="J237" i="7"/>
  <c r="J240" i="7"/>
  <c r="J238" i="7"/>
  <c r="J138" i="12" l="1"/>
  <c r="J137" i="12"/>
  <c r="J139" i="12"/>
  <c r="J140" i="12"/>
  <c r="J241" i="7"/>
  <c r="J141" i="12" l="1"/>
  <c r="K231" i="7" l="1"/>
  <c r="K233" i="7"/>
  <c r="K235" i="7"/>
  <c r="K232" i="7"/>
  <c r="K234" i="7"/>
  <c r="K18" i="12" l="1"/>
  <c r="K16" i="12"/>
  <c r="K17" i="12"/>
  <c r="K14" i="12"/>
  <c r="K15" i="12"/>
  <c r="K239" i="7"/>
  <c r="K237" i="7"/>
  <c r="K240" i="7"/>
  <c r="K238" i="7"/>
  <c r="K140" i="12" l="1"/>
  <c r="K137" i="12"/>
  <c r="K139" i="12"/>
  <c r="K138" i="12"/>
  <c r="K241" i="7"/>
  <c r="K141" i="12" l="1"/>
  <c r="J109" i="7" l="1"/>
  <c r="J12" i="12" s="1"/>
  <c r="J24" i="12" s="1"/>
  <c r="J105" i="7"/>
  <c r="J8" i="12" s="1"/>
  <c r="J20" i="12" s="1"/>
  <c r="J108" i="7"/>
  <c r="J11" i="12" s="1"/>
  <c r="J23" i="12" s="1"/>
  <c r="J107" i="7"/>
  <c r="J10" i="12" s="1"/>
  <c r="J22" i="12" s="1"/>
  <c r="J106" i="7"/>
  <c r="J9" i="12" s="1"/>
  <c r="J21" i="12" s="1"/>
  <c r="J104" i="12" l="1"/>
  <c r="J107" i="12" s="1"/>
  <c r="J152" i="12"/>
  <c r="J122" i="12"/>
  <c r="J125" i="12" s="1"/>
  <c r="J154" i="12"/>
  <c r="J153" i="12"/>
  <c r="J113" i="12"/>
  <c r="J116" i="12" s="1"/>
  <c r="J151" i="12"/>
  <c r="J95" i="12"/>
  <c r="J98" i="12" s="1"/>
  <c r="J150" i="12"/>
  <c r="J86" i="12"/>
  <c r="J89" i="12" s="1"/>
  <c r="J113" i="7"/>
  <c r="J133" i="12" s="1"/>
  <c r="J145" i="12" s="1"/>
  <c r="J111" i="7"/>
  <c r="J131" i="12" s="1"/>
  <c r="J143" i="12" s="1"/>
  <c r="J114" i="7"/>
  <c r="J134" i="12" s="1"/>
  <c r="J146" i="12" s="1"/>
  <c r="J112" i="7"/>
  <c r="J132" i="12" s="1"/>
  <c r="J144" i="12" s="1"/>
  <c r="J118" i="12" l="1"/>
  <c r="J127" i="12"/>
  <c r="J170" i="12"/>
  <c r="J176" i="12" s="1"/>
  <c r="J100" i="12"/>
  <c r="J168" i="12"/>
  <c r="J174" i="12" s="1"/>
  <c r="J91" i="12"/>
  <c r="J169" i="12"/>
  <c r="J171" i="12"/>
  <c r="J109" i="12"/>
  <c r="J115" i="7"/>
  <c r="J135" i="12" s="1"/>
  <c r="J147" i="12" s="1"/>
  <c r="J182" i="12" l="1"/>
  <c r="J188" i="12" s="1"/>
  <c r="J175" i="12"/>
  <c r="J183" i="12" s="1"/>
  <c r="J189" i="12" s="1"/>
  <c r="J184" i="12"/>
  <c r="J190" i="12" s="1"/>
  <c r="J177" i="12"/>
  <c r="J185" i="12" s="1"/>
  <c r="J191" i="12" s="1"/>
  <c r="J172" i="12"/>
  <c r="J178" i="12" l="1"/>
  <c r="J186" i="12" s="1"/>
  <c r="J192" i="12" s="1"/>
  <c r="L105" i="7"/>
  <c r="L8" i="12" s="1"/>
  <c r="L109" i="7"/>
  <c r="L12" i="12" s="1"/>
  <c r="L106" i="7"/>
  <c r="L9" i="12" s="1"/>
  <c r="L107" i="7" l="1"/>
  <c r="L10" i="12" s="1"/>
  <c r="L108" i="7"/>
  <c r="L11" i="12" s="1"/>
  <c r="L111" i="7"/>
  <c r="L131" i="12" s="1"/>
  <c r="L112" i="7"/>
  <c r="L132" i="12" s="1"/>
  <c r="L114" i="7" l="1"/>
  <c r="L134" i="12" s="1"/>
  <c r="L113" i="7"/>
  <c r="L133" i="12" s="1"/>
  <c r="L115" i="7"/>
  <c r="L135" i="12" s="1"/>
  <c r="K105" i="7" l="1"/>
  <c r="K8" i="12" s="1"/>
  <c r="K20" i="12" s="1"/>
  <c r="K107" i="7"/>
  <c r="K10" i="12" s="1"/>
  <c r="K22" i="12" s="1"/>
  <c r="K109" i="7"/>
  <c r="K12" i="12" s="1"/>
  <c r="K24" i="12" s="1"/>
  <c r="K106" i="7"/>
  <c r="K9" i="12" s="1"/>
  <c r="K21" i="12" s="1"/>
  <c r="K108" i="7"/>
  <c r="K11" i="12" s="1"/>
  <c r="K23" i="12" s="1"/>
  <c r="K152" i="12" l="1"/>
  <c r="K104" i="12"/>
  <c r="K107" i="12" s="1"/>
  <c r="K153" i="12"/>
  <c r="K113" i="12"/>
  <c r="K116" i="12" s="1"/>
  <c r="K95" i="12"/>
  <c r="K98" i="12" s="1"/>
  <c r="K151" i="12"/>
  <c r="K122" i="12"/>
  <c r="K125" i="12" s="1"/>
  <c r="K154" i="12"/>
  <c r="K150" i="12"/>
  <c r="K86" i="12"/>
  <c r="K89" i="12" s="1"/>
  <c r="K113" i="7"/>
  <c r="K133" i="12" s="1"/>
  <c r="K145" i="12" s="1"/>
  <c r="K111" i="7"/>
  <c r="K131" i="12" s="1"/>
  <c r="K143" i="12" s="1"/>
  <c r="K114" i="7"/>
  <c r="K134" i="12" s="1"/>
  <c r="K146" i="12" s="1"/>
  <c r="K112" i="7"/>
  <c r="K132" i="12" s="1"/>
  <c r="K144" i="12" s="1"/>
  <c r="K168" i="12" l="1"/>
  <c r="K174" i="12" s="1"/>
  <c r="K182" i="12" s="1"/>
  <c r="K188" i="12" s="1"/>
  <c r="K169" i="12"/>
  <c r="K100" i="12"/>
  <c r="K91" i="12"/>
  <c r="K127" i="12"/>
  <c r="K109" i="12"/>
  <c r="K171" i="12"/>
  <c r="K170" i="12"/>
  <c r="K118" i="12"/>
  <c r="K115" i="7"/>
  <c r="K135" i="12" s="1"/>
  <c r="K147" i="12" s="1"/>
  <c r="K175" i="12" l="1"/>
  <c r="K183" i="12" s="1"/>
  <c r="K189" i="12" s="1"/>
  <c r="K177" i="12"/>
  <c r="K185" i="12" s="1"/>
  <c r="K191" i="12" s="1"/>
  <c r="K176" i="12"/>
  <c r="K184" i="12" s="1"/>
  <c r="K190" i="12" s="1"/>
  <c r="K172" i="12"/>
  <c r="K178" i="12" l="1"/>
  <c r="K186" i="12" s="1"/>
  <c r="K192" i="12" s="1"/>
  <c r="M107" i="7"/>
  <c r="M10" i="12" s="1"/>
  <c r="M109" i="7"/>
  <c r="M12" i="12" s="1"/>
  <c r="M106" i="7"/>
  <c r="M9" i="12" s="1"/>
  <c r="M105" i="7" l="1"/>
  <c r="M8" i="12" s="1"/>
  <c r="M108" i="7"/>
  <c r="M11" i="12" s="1"/>
  <c r="M112" i="7"/>
  <c r="M132" i="12" s="1"/>
  <c r="M113" i="7"/>
  <c r="M133" i="12" s="1"/>
  <c r="M114" i="7" l="1"/>
  <c r="M134" i="12" s="1"/>
  <c r="M111" i="7"/>
  <c r="M131" i="12" s="1"/>
  <c r="M115" i="7"/>
  <c r="M135" i="12" s="1"/>
  <c r="N109" i="7" l="1"/>
  <c r="N12" i="12" s="1"/>
  <c r="N105" i="7"/>
  <c r="N8" i="12" s="1"/>
  <c r="N108" i="7"/>
  <c r="N11" i="12" s="1"/>
  <c r="N107" i="7"/>
  <c r="N10" i="12" s="1"/>
  <c r="N106" i="7"/>
  <c r="N9" i="12" s="1"/>
  <c r="N112" i="7" l="1"/>
  <c r="N132" i="12" s="1"/>
  <c r="N113" i="7"/>
  <c r="N133" i="12" s="1"/>
  <c r="N114" i="7"/>
  <c r="N134" i="12" s="1"/>
  <c r="N111" i="7"/>
  <c r="N131" i="12" s="1"/>
  <c r="N115" i="7" l="1"/>
  <c r="N135" i="12" s="1"/>
  <c r="O106" i="7" l="1"/>
  <c r="O9" i="12" s="1"/>
  <c r="O108" i="7" l="1"/>
  <c r="O11" i="12" s="1"/>
  <c r="O105" i="7"/>
  <c r="O8" i="12" s="1"/>
  <c r="O107" i="7"/>
  <c r="O10" i="12" s="1"/>
  <c r="O112" i="7"/>
  <c r="O132" i="12" s="1"/>
  <c r="O113" i="7"/>
  <c r="O133" i="12" s="1"/>
  <c r="O109" i="7"/>
  <c r="O12" i="12" s="1"/>
  <c r="O114" i="7" l="1"/>
  <c r="O134" i="12" s="1"/>
  <c r="O111" i="7"/>
  <c r="O131" i="12" s="1"/>
  <c r="O115" i="7" l="1"/>
  <c r="O135" i="12" s="1"/>
  <c r="P108" i="7" l="1"/>
  <c r="P11" i="12" s="1"/>
  <c r="P106" i="7" l="1"/>
  <c r="P9" i="12" s="1"/>
  <c r="P109" i="7"/>
  <c r="P12" i="12" s="1"/>
  <c r="P105" i="7"/>
  <c r="P8" i="12" s="1"/>
  <c r="P114" i="7"/>
  <c r="P134" i="12" s="1"/>
  <c r="P107" i="7"/>
  <c r="P10" i="12" s="1"/>
  <c r="P115" i="7" l="1"/>
  <c r="P135" i="12" s="1"/>
  <c r="P112" i="7"/>
  <c r="P132" i="12" s="1"/>
  <c r="P111" i="7"/>
  <c r="P131" i="12" s="1"/>
  <c r="P113" i="7"/>
  <c r="P133" i="12" s="1"/>
  <c r="Q107" i="7" l="1"/>
  <c r="Q10" i="12" s="1"/>
  <c r="Q108" i="7"/>
  <c r="Q11" i="12" s="1"/>
  <c r="Q105" i="7"/>
  <c r="Q8" i="12" s="1"/>
  <c r="Q106" i="7"/>
  <c r="Q9" i="12" s="1"/>
  <c r="Q109" i="7"/>
  <c r="Q12" i="12" s="1"/>
  <c r="Q114" i="7" l="1"/>
  <c r="Q134" i="12" s="1"/>
  <c r="Q112" i="7"/>
  <c r="Q132" i="12" s="1"/>
  <c r="Q111" i="7"/>
  <c r="Q131" i="12" s="1"/>
  <c r="Q113" i="7"/>
  <c r="Q133" i="12" s="1"/>
  <c r="Q115" i="7" l="1"/>
  <c r="Q135" i="12" s="1"/>
  <c r="R107" i="7" l="1"/>
  <c r="R10" i="12" s="1"/>
  <c r="R113" i="7" l="1"/>
  <c r="R133" i="12" s="1"/>
  <c r="R109" i="7"/>
  <c r="R12" i="12" s="1"/>
  <c r="R106" i="7"/>
  <c r="R9" i="12" s="1"/>
  <c r="R105" i="7"/>
  <c r="R8" i="12" s="1"/>
  <c r="R108" i="7"/>
  <c r="R11" i="12" s="1"/>
  <c r="R114" i="7" l="1"/>
  <c r="R134" i="12" s="1"/>
  <c r="R111" i="7"/>
  <c r="R131" i="12" s="1"/>
  <c r="R112" i="7"/>
  <c r="R132" i="12" s="1"/>
  <c r="R115" i="7" l="1"/>
  <c r="R135" i="12" s="1"/>
  <c r="H106" i="7" l="1"/>
  <c r="H9" i="12" s="1"/>
  <c r="H109" i="7"/>
  <c r="H12" i="12" s="1"/>
  <c r="H108" i="7"/>
  <c r="H11" i="12" s="1"/>
  <c r="H105" i="7"/>
  <c r="H8" i="12" s="1"/>
  <c r="H107" i="7"/>
  <c r="H10" i="12" s="1"/>
  <c r="H113" i="7" l="1"/>
  <c r="H133" i="12" s="1"/>
  <c r="H111" i="7"/>
  <c r="H131" i="12" s="1"/>
  <c r="H114" i="7"/>
  <c r="H134" i="12" s="1"/>
  <c r="H112" i="7"/>
  <c r="H132" i="12" s="1"/>
  <c r="H115" i="7" l="1"/>
  <c r="H135" i="12" s="1"/>
  <c r="E5" i="9" l="1"/>
  <c r="E4" i="9"/>
  <c r="E3" i="9"/>
  <c r="E2" i="9"/>
  <c r="A1" i="9"/>
  <c r="A1" i="13" l="1"/>
  <c r="B11" i="13" s="1"/>
  <c r="E5" i="12"/>
  <c r="E4" i="12"/>
  <c r="E3" i="12"/>
  <c r="E2" i="12"/>
  <c r="A1" i="12"/>
  <c r="F8" i="13" s="1"/>
  <c r="J10" i="8"/>
  <c r="E82" i="8"/>
  <c r="G82" i="8"/>
  <c r="E83" i="8"/>
  <c r="G83" i="8"/>
  <c r="F82" i="8" l="1"/>
  <c r="J5" i="12"/>
  <c r="F83" i="8"/>
  <c r="H8" i="13"/>
  <c r="E13" i="9"/>
  <c r="G13" i="9"/>
  <c r="A1" i="8"/>
  <c r="F5" i="13" s="1"/>
  <c r="E2" i="8"/>
  <c r="E3" i="8"/>
  <c r="E4" i="8"/>
  <c r="E5" i="8"/>
  <c r="J5" i="8"/>
  <c r="E13" i="8"/>
  <c r="F13" i="8"/>
  <c r="G13" i="8"/>
  <c r="H13" i="8"/>
  <c r="I13" i="8"/>
  <c r="E16" i="8"/>
  <c r="G16" i="8"/>
  <c r="E19" i="8"/>
  <c r="G19" i="8"/>
  <c r="E20" i="8"/>
  <c r="F20" i="8"/>
  <c r="G20" i="8"/>
  <c r="I20" i="8"/>
  <c r="E24" i="8"/>
  <c r="F24" i="8"/>
  <c r="G24" i="8"/>
  <c r="H24" i="8"/>
  <c r="I24" i="8"/>
  <c r="E25" i="8"/>
  <c r="F25" i="8"/>
  <c r="G25" i="8"/>
  <c r="H25" i="8"/>
  <c r="I25" i="8"/>
  <c r="E31" i="8"/>
  <c r="G31" i="8"/>
  <c r="E32" i="8"/>
  <c r="F32" i="8"/>
  <c r="G32" i="8"/>
  <c r="H32" i="8"/>
  <c r="I32" i="8"/>
  <c r="E37" i="8"/>
  <c r="G37" i="8"/>
  <c r="E38" i="8"/>
  <c r="F38" i="8"/>
  <c r="G38" i="8"/>
  <c r="H38" i="8"/>
  <c r="I38" i="8"/>
  <c r="E44" i="8"/>
  <c r="F44" i="8"/>
  <c r="G44" i="8"/>
  <c r="I44" i="8"/>
  <c r="J45" i="8" s="1"/>
  <c r="J51" i="8" s="1"/>
  <c r="E47" i="8"/>
  <c r="G47" i="8"/>
  <c r="E48" i="8"/>
  <c r="F48" i="8"/>
  <c r="G48" i="8"/>
  <c r="H48" i="8"/>
  <c r="I48" i="8"/>
  <c r="E51" i="8"/>
  <c r="F51" i="8"/>
  <c r="G51" i="8"/>
  <c r="I51" i="8"/>
  <c r="E52" i="8"/>
  <c r="F52" i="8"/>
  <c r="G52" i="8"/>
  <c r="I52" i="8"/>
  <c r="E56" i="8"/>
  <c r="F56" i="8"/>
  <c r="G56" i="8"/>
  <c r="I56" i="8"/>
  <c r="E57" i="8"/>
  <c r="F57" i="8"/>
  <c r="G57" i="8"/>
  <c r="I57" i="8"/>
  <c r="E63" i="8"/>
  <c r="F63" i="8"/>
  <c r="G63" i="8"/>
  <c r="I63" i="8"/>
  <c r="J64" i="8" s="1"/>
  <c r="J66" i="8" s="1"/>
  <c r="J67" i="8" s="1"/>
  <c r="E66" i="8"/>
  <c r="F66" i="8"/>
  <c r="G66" i="8"/>
  <c r="I66" i="8"/>
  <c r="E73" i="8"/>
  <c r="G73" i="8"/>
  <c r="E74" i="8"/>
  <c r="G74" i="8"/>
  <c r="E75" i="8"/>
  <c r="G75" i="8"/>
  <c r="E76" i="8"/>
  <c r="G76" i="8"/>
  <c r="E84" i="8"/>
  <c r="F84" i="8"/>
  <c r="G84" i="8"/>
  <c r="H84" i="8"/>
  <c r="I84" i="8"/>
  <c r="E85" i="8"/>
  <c r="F85" i="8"/>
  <c r="G85" i="8"/>
  <c r="I85" i="8"/>
  <c r="A1" i="7"/>
  <c r="D5" i="13" s="1"/>
  <c r="E2" i="7"/>
  <c r="E3" i="7"/>
  <c r="E4" i="7"/>
  <c r="E5" i="7"/>
  <c r="E6" i="7"/>
  <c r="J6" i="7"/>
  <c r="A1" i="2"/>
  <c r="B8" i="13" s="1"/>
  <c r="J53" i="8" l="1"/>
  <c r="J57" i="8" s="1"/>
  <c r="F31" i="8"/>
  <c r="F16" i="8"/>
  <c r="F17" i="8" s="1"/>
  <c r="F19" i="8" s="1"/>
  <c r="F37" i="8"/>
  <c r="F47" i="8"/>
  <c r="K10" i="8"/>
  <c r="J13" i="8"/>
  <c r="J14" i="8" s="1"/>
  <c r="K5" i="12" l="1"/>
  <c r="J20" i="8"/>
  <c r="J21" i="8" s="1"/>
  <c r="J85" i="8"/>
  <c r="K5" i="8"/>
  <c r="K13" i="8"/>
  <c r="K14" i="8" s="1"/>
  <c r="L10" i="8"/>
  <c r="K6" i="7"/>
  <c r="L5" i="12" l="1"/>
  <c r="J86" i="8"/>
  <c r="J22" i="8"/>
  <c r="M10" i="8"/>
  <c r="L5" i="8"/>
  <c r="L13" i="8"/>
  <c r="L14" i="8" s="1"/>
  <c r="L6" i="7"/>
  <c r="K20" i="8"/>
  <c r="K85" i="8"/>
  <c r="J25" i="8"/>
  <c r="J2" i="7"/>
  <c r="M5" i="12" l="1"/>
  <c r="J4" i="12"/>
  <c r="J5" i="7"/>
  <c r="J4" i="8"/>
  <c r="J2" i="12"/>
  <c r="L20" i="8"/>
  <c r="L85" i="8"/>
  <c r="M13" i="8"/>
  <c r="M14" i="8" s="1"/>
  <c r="M5" i="8"/>
  <c r="N10" i="8"/>
  <c r="M6" i="7"/>
  <c r="J2" i="8"/>
  <c r="J24" i="8"/>
  <c r="J26" i="8" s="1"/>
  <c r="J32" i="8"/>
  <c r="J48" i="8"/>
  <c r="J38" i="8"/>
  <c r="J39" i="8" s="1"/>
  <c r="J84" i="8"/>
  <c r="J3" i="7"/>
  <c r="K21" i="8"/>
  <c r="N5" i="12" l="1"/>
  <c r="K22" i="8"/>
  <c r="J49" i="8"/>
  <c r="O10" i="8"/>
  <c r="N5" i="8"/>
  <c r="N13" i="8"/>
  <c r="N14" i="8" s="1"/>
  <c r="N6" i="7"/>
  <c r="J33" i="8"/>
  <c r="J34" i="8"/>
  <c r="K25" i="8"/>
  <c r="K2" i="7"/>
  <c r="M20" i="8"/>
  <c r="M85" i="8"/>
  <c r="K2" i="12" l="1"/>
  <c r="O5" i="12"/>
  <c r="K24" i="8"/>
  <c r="K26" i="8" s="1"/>
  <c r="K32" i="8"/>
  <c r="K2" i="8"/>
  <c r="K38" i="8"/>
  <c r="K39" i="8" s="1"/>
  <c r="K48" i="8"/>
  <c r="K84" i="8"/>
  <c r="K86" i="8" s="1"/>
  <c r="K3" i="7"/>
  <c r="O5" i="8"/>
  <c r="O13" i="8"/>
  <c r="O14" i="8" s="1"/>
  <c r="P10" i="8"/>
  <c r="O6" i="7"/>
  <c r="J44" i="8"/>
  <c r="K45" i="8" s="1"/>
  <c r="N20" i="8"/>
  <c r="N85" i="8"/>
  <c r="J56" i="8"/>
  <c r="J58" i="8" s="1"/>
  <c r="L21" i="8"/>
  <c r="J52" i="8"/>
  <c r="J63" i="8"/>
  <c r="K64" i="8" s="1"/>
  <c r="J3" i="12" l="1"/>
  <c r="K4" i="12"/>
  <c r="P5" i="12"/>
  <c r="L25" i="8"/>
  <c r="L22" i="8"/>
  <c r="L2" i="7"/>
  <c r="Q10" i="8"/>
  <c r="Q5" i="12" s="1"/>
  <c r="P13" i="8"/>
  <c r="P14" i="8" s="1"/>
  <c r="P5" i="8"/>
  <c r="P6" i="7"/>
  <c r="K51" i="8"/>
  <c r="K53" i="8" s="1"/>
  <c r="O20" i="8"/>
  <c r="O85" i="8"/>
  <c r="K49" i="8"/>
  <c r="K66" i="8"/>
  <c r="K67" i="8" s="1"/>
  <c r="J3" i="8"/>
  <c r="J4" i="7"/>
  <c r="K4" i="8"/>
  <c r="K5" i="7"/>
  <c r="K33" i="8"/>
  <c r="K34" i="8"/>
  <c r="L2" i="12" l="1"/>
  <c r="P20" i="8"/>
  <c r="P85" i="8"/>
  <c r="K57" i="8"/>
  <c r="Q13" i="8"/>
  <c r="Q14" i="8" s="1"/>
  <c r="Q5" i="8"/>
  <c r="R10" i="8"/>
  <c r="R5" i="12" s="1"/>
  <c r="Q6" i="7"/>
  <c r="K44" i="8"/>
  <c r="L45" i="8" s="1"/>
  <c r="K56" i="8"/>
  <c r="K58" i="8" s="1"/>
  <c r="K52" i="8"/>
  <c r="K63" i="8"/>
  <c r="L64" i="8" s="1"/>
  <c r="L2" i="8"/>
  <c r="L24" i="8"/>
  <c r="L26" i="8" s="1"/>
  <c r="L48" i="8"/>
  <c r="L38" i="8"/>
  <c r="L39" i="8" s="1"/>
  <c r="L32" i="8"/>
  <c r="L84" i="8"/>
  <c r="L86" i="8" s="1"/>
  <c r="L3" i="7"/>
  <c r="M21" i="8"/>
  <c r="K3" i="12" l="1"/>
  <c r="L4" i="12"/>
  <c r="L4" i="8"/>
  <c r="L5" i="7"/>
  <c r="L49" i="8"/>
  <c r="L66" i="8"/>
  <c r="L67" i="8" s="1"/>
  <c r="K3" i="8"/>
  <c r="K4" i="7"/>
  <c r="Q20" i="8"/>
  <c r="Q85" i="8"/>
  <c r="L33" i="8"/>
  <c r="L34" i="8"/>
  <c r="S10" i="8"/>
  <c r="S6" i="7" s="1"/>
  <c r="R13" i="8"/>
  <c r="R14" i="8" s="1"/>
  <c r="R5" i="8"/>
  <c r="R6" i="7"/>
  <c r="M25" i="8"/>
  <c r="M22" i="8"/>
  <c r="M2" i="7"/>
  <c r="L51" i="8"/>
  <c r="L53" i="8" s="1"/>
  <c r="S5" i="12" l="1"/>
  <c r="M2" i="12"/>
  <c r="L56" i="8"/>
  <c r="L63" i="8"/>
  <c r="M64" i="8" s="1"/>
  <c r="L52" i="8"/>
  <c r="L44" i="8"/>
  <c r="M45" i="8" s="1"/>
  <c r="R20" i="8"/>
  <c r="R85" i="8"/>
  <c r="L57" i="8"/>
  <c r="M2" i="8"/>
  <c r="M24" i="8"/>
  <c r="M26" i="8" s="1"/>
  <c r="M32" i="8"/>
  <c r="M48" i="8"/>
  <c r="M38" i="8"/>
  <c r="M39" i="8" s="1"/>
  <c r="M84" i="8"/>
  <c r="M86" i="8" s="1"/>
  <c r="M3" i="7"/>
  <c r="N21" i="8"/>
  <c r="S5" i="8"/>
  <c r="S13" i="8"/>
  <c r="S14" i="8" s="1"/>
  <c r="M4" i="12" l="1"/>
  <c r="L58" i="8"/>
  <c r="M4" i="8"/>
  <c r="M5" i="7"/>
  <c r="M51" i="8"/>
  <c r="M53" i="8" s="1"/>
  <c r="S20" i="8"/>
  <c r="S85" i="8"/>
  <c r="M33" i="8"/>
  <c r="M34" i="8"/>
  <c r="M66" i="8"/>
  <c r="M67" i="8" s="1"/>
  <c r="N22" i="8"/>
  <c r="N25" i="8"/>
  <c r="N2" i="7"/>
  <c r="M49" i="8"/>
  <c r="N2" i="12" l="1"/>
  <c r="L3" i="8"/>
  <c r="L3" i="12"/>
  <c r="L4" i="7"/>
  <c r="M56" i="8"/>
  <c r="M44" i="8"/>
  <c r="N45" i="8" s="1"/>
  <c r="M57" i="8"/>
  <c r="M52" i="8"/>
  <c r="M63" i="8"/>
  <c r="N64" i="8" s="1"/>
  <c r="N66" i="8" s="1"/>
  <c r="N67" i="8" s="1"/>
  <c r="N2" i="8"/>
  <c r="N32" i="8"/>
  <c r="N24" i="8"/>
  <c r="N26" i="8" s="1"/>
  <c r="N48" i="8"/>
  <c r="N38" i="8"/>
  <c r="N39" i="8" s="1"/>
  <c r="N84" i="8"/>
  <c r="N86" i="8" s="1"/>
  <c r="N3" i="7"/>
  <c r="O21" i="8"/>
  <c r="N4" i="12" l="1"/>
  <c r="N33" i="8"/>
  <c r="N34" i="8"/>
  <c r="N4" i="8"/>
  <c r="N5" i="7"/>
  <c r="O22" i="8"/>
  <c r="O25" i="8"/>
  <c r="O2" i="7"/>
  <c r="N49" i="8"/>
  <c r="M58" i="8"/>
  <c r="N51" i="8"/>
  <c r="N53" i="8" s="1"/>
  <c r="M3" i="12" l="1"/>
  <c r="O2" i="12"/>
  <c r="N63" i="8"/>
  <c r="O64" i="8" s="1"/>
  <c r="O66" i="8" s="1"/>
  <c r="O67" i="8" s="1"/>
  <c r="N52" i="8"/>
  <c r="O24" i="8"/>
  <c r="O26" i="8" s="1"/>
  <c r="O32" i="8"/>
  <c r="O2" i="8"/>
  <c r="O38" i="8"/>
  <c r="O39" i="8" s="1"/>
  <c r="O48" i="8"/>
  <c r="O84" i="8"/>
  <c r="O86" i="8" s="1"/>
  <c r="O3" i="7"/>
  <c r="P21" i="8"/>
  <c r="N44" i="8"/>
  <c r="O45" i="8" s="1"/>
  <c r="N57" i="8"/>
  <c r="M3" i="8"/>
  <c r="M4" i="7"/>
  <c r="N56" i="8"/>
  <c r="O4" i="12" l="1"/>
  <c r="O51" i="8"/>
  <c r="O53" i="8" s="1"/>
  <c r="O57" i="8" s="1"/>
  <c r="O4" i="8"/>
  <c r="O5" i="7"/>
  <c r="N58" i="8"/>
  <c r="P25" i="8"/>
  <c r="P22" i="8"/>
  <c r="P2" i="7"/>
  <c r="O49" i="8"/>
  <c r="O33" i="8"/>
  <c r="O44" i="8" s="1"/>
  <c r="P45" i="8" s="1"/>
  <c r="P51" i="8" s="1"/>
  <c r="O34" i="8"/>
  <c r="O56" i="8" s="1"/>
  <c r="N3" i="12" l="1"/>
  <c r="O58" i="8"/>
  <c r="O3" i="8" s="1"/>
  <c r="P2" i="12"/>
  <c r="O52" i="8"/>
  <c r="P53" i="8" s="1"/>
  <c r="P57" i="8" s="1"/>
  <c r="O63" i="8"/>
  <c r="P64" i="8" s="1"/>
  <c r="P66" i="8" s="1"/>
  <c r="P67" i="8" s="1"/>
  <c r="N3" i="8"/>
  <c r="N4" i="7"/>
  <c r="P2" i="8"/>
  <c r="P24" i="8"/>
  <c r="P26" i="8" s="1"/>
  <c r="P48" i="8"/>
  <c r="P38" i="8"/>
  <c r="P39" i="8" s="1"/>
  <c r="P32" i="8"/>
  <c r="P84" i="8"/>
  <c r="P86" i="8" s="1"/>
  <c r="P3" i="7"/>
  <c r="Q21" i="8"/>
  <c r="O4" i="7" l="1"/>
  <c r="O3" i="12"/>
  <c r="P4" i="12"/>
  <c r="P49" i="8"/>
  <c r="P4" i="8"/>
  <c r="P5" i="7"/>
  <c r="P33" i="8"/>
  <c r="P44" i="8" s="1"/>
  <c r="Q45" i="8" s="1"/>
  <c r="Q51" i="8" s="1"/>
  <c r="P34" i="8"/>
  <c r="P56" i="8" s="1"/>
  <c r="P58" i="8" s="1"/>
  <c r="Q22" i="8"/>
  <c r="Q2" i="12" s="1"/>
  <c r="Q25" i="8"/>
  <c r="Q2" i="7"/>
  <c r="P3" i="12" l="1"/>
  <c r="P63" i="8"/>
  <c r="Q64" i="8" s="1"/>
  <c r="Q66" i="8" s="1"/>
  <c r="Q67" i="8" s="1"/>
  <c r="P52" i="8"/>
  <c r="Q53" i="8" s="1"/>
  <c r="Q57" i="8" s="1"/>
  <c r="Q2" i="8"/>
  <c r="Q24" i="8"/>
  <c r="Q26" i="8" s="1"/>
  <c r="Q48" i="8"/>
  <c r="Q38" i="8"/>
  <c r="Q39" i="8" s="1"/>
  <c r="Q84" i="8"/>
  <c r="Q86" i="8" s="1"/>
  <c r="Q4" i="12" s="1"/>
  <c r="Q32" i="8"/>
  <c r="Q3" i="7"/>
  <c r="R21" i="8"/>
  <c r="P3" i="8"/>
  <c r="P4" i="7"/>
  <c r="R22" i="8" l="1"/>
  <c r="R2" i="12" s="1"/>
  <c r="R25" i="8"/>
  <c r="R2" i="7"/>
  <c r="Q4" i="8"/>
  <c r="Q5" i="7"/>
  <c r="Q33" i="8"/>
  <c r="Q44" i="8" s="1"/>
  <c r="R45" i="8" s="1"/>
  <c r="R51" i="8" s="1"/>
  <c r="Q34" i="8"/>
  <c r="Q56" i="8" s="1"/>
  <c r="Q58" i="8" s="1"/>
  <c r="Q3" i="12" s="1"/>
  <c r="Q49" i="8"/>
  <c r="Q3" i="8" l="1"/>
  <c r="Q4" i="7"/>
  <c r="R2" i="8"/>
  <c r="R32" i="8"/>
  <c r="R48" i="8"/>
  <c r="R84" i="8"/>
  <c r="R86" i="8" s="1"/>
  <c r="R4" i="12" s="1"/>
  <c r="R38" i="8"/>
  <c r="R39" i="8" s="1"/>
  <c r="R3" i="7"/>
  <c r="R24" i="8"/>
  <c r="R26" i="8" s="1"/>
  <c r="S21" i="8"/>
  <c r="S2" i="7" s="1"/>
  <c r="Q52" i="8"/>
  <c r="R53" i="8" s="1"/>
  <c r="R57" i="8" s="1"/>
  <c r="Q63" i="8"/>
  <c r="R64" i="8" s="1"/>
  <c r="R66" i="8" s="1"/>
  <c r="R67" i="8" s="1"/>
  <c r="R4" i="8" l="1"/>
  <c r="R5" i="7"/>
  <c r="R49" i="8"/>
  <c r="R33" i="8"/>
  <c r="R44" i="8" s="1"/>
  <c r="S45" i="8" s="1"/>
  <c r="S51" i="8" s="1"/>
  <c r="R34" i="8"/>
  <c r="R56" i="8" s="1"/>
  <c r="R58" i="8" s="1"/>
  <c r="R3" i="12" s="1"/>
  <c r="S22" i="8"/>
  <c r="S3" i="7" s="1"/>
  <c r="S25" i="8"/>
  <c r="S2" i="12" l="1"/>
  <c r="R52" i="8"/>
  <c r="S53" i="8" s="1"/>
  <c r="S57" i="8" s="1"/>
  <c r="R63" i="8"/>
  <c r="S64" i="8" s="1"/>
  <c r="S66" i="8" s="1"/>
  <c r="S67" i="8" s="1"/>
  <c r="S24" i="8"/>
  <c r="S26" i="8" s="1"/>
  <c r="S32" i="8"/>
  <c r="S38" i="8"/>
  <c r="S39" i="8" s="1"/>
  <c r="S2" i="8"/>
  <c r="S84" i="8"/>
  <c r="S86" i="8" s="1"/>
  <c r="S5" i="7" s="1"/>
  <c r="S48" i="8"/>
  <c r="R3" i="8"/>
  <c r="R4" i="7"/>
  <c r="S4" i="12" l="1"/>
  <c r="S49" i="8"/>
  <c r="S33" i="8"/>
  <c r="S44" i="8" s="1"/>
  <c r="S34" i="8"/>
  <c r="S56" i="8" s="1"/>
  <c r="S58" i="8" s="1"/>
  <c r="S4" i="7" s="1"/>
  <c r="S4" i="8"/>
  <c r="S3" i="12" l="1"/>
  <c r="S3" i="8"/>
  <c r="S52" i="8"/>
  <c r="S63" i="8"/>
  <c r="F11" i="8" l="1"/>
  <c r="F73" i="8" s="1"/>
  <c r="H14" i="8" l="1"/>
  <c r="H20" i="8" l="1"/>
  <c r="H85" i="8"/>
  <c r="H45" i="8" l="1"/>
  <c r="H51" i="8" s="1"/>
  <c r="H49" i="8" l="1"/>
  <c r="H26" i="8"/>
  <c r="H39" i="8"/>
  <c r="H64" i="8"/>
  <c r="H66" i="8" s="1"/>
  <c r="H34" i="8" l="1"/>
  <c r="H56" i="8" s="1"/>
  <c r="F35" i="8"/>
  <c r="F74" i="8" s="1"/>
  <c r="H63" i="8"/>
  <c r="H52" i="8"/>
  <c r="H33" i="8"/>
  <c r="H44" i="8" s="1"/>
  <c r="F54" i="8"/>
  <c r="F75" i="8" s="1"/>
  <c r="H53" i="8"/>
  <c r="H57" i="8" s="1"/>
  <c r="F68" i="8"/>
  <c r="F76" i="8" s="1"/>
  <c r="H67" i="8"/>
  <c r="F77" i="8" l="1"/>
  <c r="F13" i="9" s="1"/>
  <c r="M251" i="7" l="1"/>
  <c r="F37" i="15" s="1"/>
  <c r="L251" i="7"/>
  <c r="F36" i="15" s="1"/>
  <c r="O249" i="7"/>
  <c r="F29" i="15" s="1"/>
  <c r="M249" i="7"/>
  <c r="F27" i="15" s="1"/>
  <c r="L249" i="7"/>
  <c r="F26" i="15" s="1"/>
  <c r="O251" i="7"/>
  <c r="F39" i="15" s="1"/>
  <c r="P251" i="7"/>
  <c r="F40" i="15" s="1"/>
  <c r="N251" i="7"/>
  <c r="F38" i="15" s="1"/>
  <c r="P249" i="7"/>
  <c r="F30" i="15" s="1"/>
  <c r="N249" i="7"/>
  <c r="F28" i="15" s="1"/>
  <c r="L231" i="7" l="1"/>
  <c r="L14" i="12" s="1"/>
  <c r="L20" i="12" s="1"/>
  <c r="L232" i="7"/>
  <c r="L15" i="12" s="1"/>
  <c r="L21" i="12" s="1"/>
  <c r="L233" i="7"/>
  <c r="L16" i="12" s="1"/>
  <c r="L22" i="12" s="1"/>
  <c r="L234" i="7"/>
  <c r="L17" i="12" s="1"/>
  <c r="L23" i="12" s="1"/>
  <c r="L235" i="7"/>
  <c r="L18" i="12" s="1"/>
  <c r="L24" i="12" s="1"/>
  <c r="L95" i="12" l="1"/>
  <c r="L98" i="12" s="1"/>
  <c r="L151" i="12"/>
  <c r="L237" i="7"/>
  <c r="L137" i="12" s="1"/>
  <c r="L143" i="12" s="1"/>
  <c r="L153" i="12"/>
  <c r="L113" i="12"/>
  <c r="L116" i="12" s="1"/>
  <c r="L104" i="12"/>
  <c r="L107" i="12" s="1"/>
  <c r="L152" i="12"/>
  <c r="L86" i="12"/>
  <c r="L89" i="12" s="1"/>
  <c r="L150" i="12"/>
  <c r="L154" i="12"/>
  <c r="L122" i="12"/>
  <c r="L125" i="12" s="1"/>
  <c r="L240" i="7"/>
  <c r="L140" i="12" s="1"/>
  <c r="L146" i="12" s="1"/>
  <c r="L239" i="7"/>
  <c r="L139" i="12" s="1"/>
  <c r="L145" i="12" s="1"/>
  <c r="L238" i="7"/>
  <c r="L138" i="12" s="1"/>
  <c r="L144" i="12" s="1"/>
  <c r="L91" i="12" l="1"/>
  <c r="L100" i="12"/>
  <c r="L169" i="12"/>
  <c r="L175" i="12" s="1"/>
  <c r="L183" i="12" s="1"/>
  <c r="L189" i="12" s="1"/>
  <c r="L127" i="12"/>
  <c r="L109" i="12"/>
  <c r="L168" i="12"/>
  <c r="L174" i="12" s="1"/>
  <c r="L182" i="12" s="1"/>
  <c r="L188" i="12" s="1"/>
  <c r="L241" i="7"/>
  <c r="L141" i="12" s="1"/>
  <c r="L147" i="12" s="1"/>
  <c r="L170" i="12"/>
  <c r="L176" i="12" s="1"/>
  <c r="L184" i="12" s="1"/>
  <c r="L190" i="12" s="1"/>
  <c r="L171" i="12"/>
  <c r="L177" i="12" s="1"/>
  <c r="L185" i="12" s="1"/>
  <c r="L191" i="12" s="1"/>
  <c r="L118" i="12"/>
  <c r="L172" i="12" l="1"/>
  <c r="L178" i="12" s="1"/>
  <c r="L186" i="12" s="1"/>
  <c r="L192" i="12" s="1"/>
  <c r="M233" i="7" l="1"/>
  <c r="M16" i="12" s="1"/>
  <c r="M22" i="12" s="1"/>
  <c r="M235" i="7"/>
  <c r="M18" i="12" s="1"/>
  <c r="M24" i="12" s="1"/>
  <c r="M234" i="7"/>
  <c r="M17" i="12" s="1"/>
  <c r="M23" i="12" s="1"/>
  <c r="M232" i="7"/>
  <c r="M15" i="12" s="1"/>
  <c r="M21" i="12" s="1"/>
  <c r="M231" i="7"/>
  <c r="M14" i="12" s="1"/>
  <c r="M20" i="12" s="1"/>
  <c r="M237" i="7" l="1"/>
  <c r="M137" i="12" s="1"/>
  <c r="M143" i="12" s="1"/>
  <c r="M86" i="12"/>
  <c r="M89" i="12" s="1"/>
  <c r="M150" i="12"/>
  <c r="M113" i="12"/>
  <c r="M116" i="12" s="1"/>
  <c r="M153" i="12"/>
  <c r="M239" i="7"/>
  <c r="M139" i="12" s="1"/>
  <c r="M145" i="12" s="1"/>
  <c r="M238" i="7"/>
  <c r="M138" i="12" s="1"/>
  <c r="M144" i="12" s="1"/>
  <c r="M240" i="7"/>
  <c r="M140" i="12" s="1"/>
  <c r="M146" i="12" s="1"/>
  <c r="M122" i="12"/>
  <c r="M125" i="12" s="1"/>
  <c r="M154" i="12"/>
  <c r="M152" i="12"/>
  <c r="M104" i="12"/>
  <c r="M107" i="12" s="1"/>
  <c r="M151" i="12"/>
  <c r="M95" i="12"/>
  <c r="M98" i="12" s="1"/>
  <c r="M109" i="12" l="1"/>
  <c r="M169" i="12"/>
  <c r="M175" i="12" s="1"/>
  <c r="M183" i="12" s="1"/>
  <c r="M189" i="12" s="1"/>
  <c r="M241" i="7"/>
  <c r="M141" i="12" s="1"/>
  <c r="M147" i="12" s="1"/>
  <c r="M168" i="12"/>
  <c r="M174" i="12" s="1"/>
  <c r="M182" i="12" s="1"/>
  <c r="M188" i="12" s="1"/>
  <c r="M100" i="12"/>
  <c r="M127" i="12"/>
  <c r="M170" i="12"/>
  <c r="M176" i="12" s="1"/>
  <c r="M184" i="12" s="1"/>
  <c r="M190" i="12" s="1"/>
  <c r="M118" i="12"/>
  <c r="M91" i="12"/>
  <c r="M171" i="12"/>
  <c r="M177" i="12" s="1"/>
  <c r="M185" i="12" s="1"/>
  <c r="M191" i="12" s="1"/>
  <c r="M172" i="12" l="1"/>
  <c r="M178" i="12" s="1"/>
  <c r="M186" i="12" s="1"/>
  <c r="M192" i="12" s="1"/>
  <c r="N235" i="7" l="1"/>
  <c r="N18" i="12" s="1"/>
  <c r="N24" i="12" s="1"/>
  <c r="N231" i="7"/>
  <c r="N14" i="12" s="1"/>
  <c r="N20" i="12" s="1"/>
  <c r="N233" i="7"/>
  <c r="N16" i="12" s="1"/>
  <c r="N22" i="12" s="1"/>
  <c r="N232" i="7"/>
  <c r="N15" i="12" s="1"/>
  <c r="N21" i="12" s="1"/>
  <c r="N234" i="7"/>
  <c r="N17" i="12" s="1"/>
  <c r="N23" i="12" s="1"/>
  <c r="N113" i="12" l="1"/>
  <c r="N116" i="12" s="1"/>
  <c r="N153" i="12"/>
  <c r="N152" i="12"/>
  <c r="N104" i="12"/>
  <c r="N107" i="12" s="1"/>
  <c r="N86" i="12"/>
  <c r="N89" i="12" s="1"/>
  <c r="N150" i="12"/>
  <c r="N154" i="12"/>
  <c r="N122" i="12"/>
  <c r="N125" i="12" s="1"/>
  <c r="N240" i="7"/>
  <c r="N140" i="12" s="1"/>
  <c r="N146" i="12" s="1"/>
  <c r="N151" i="12"/>
  <c r="N95" i="12"/>
  <c r="N98" i="12" s="1"/>
  <c r="N238" i="7"/>
  <c r="N138" i="12" s="1"/>
  <c r="N144" i="12" s="1"/>
  <c r="N239" i="7"/>
  <c r="N139" i="12" s="1"/>
  <c r="N145" i="12" s="1"/>
  <c r="N237" i="7"/>
  <c r="N137" i="12" s="1"/>
  <c r="N143" i="12" s="1"/>
  <c r="N168" i="12" l="1"/>
  <c r="N174" i="12" s="1"/>
  <c r="N182" i="12" s="1"/>
  <c r="N188" i="12" s="1"/>
  <c r="N100" i="12"/>
  <c r="N171" i="12"/>
  <c r="N177" i="12" s="1"/>
  <c r="N185" i="12" s="1"/>
  <c r="N191" i="12" s="1"/>
  <c r="N241" i="7"/>
  <c r="N141" i="12" s="1"/>
  <c r="N147" i="12" s="1"/>
  <c r="N169" i="12"/>
  <c r="N175" i="12" s="1"/>
  <c r="N183" i="12" s="1"/>
  <c r="N189" i="12" s="1"/>
  <c r="N91" i="12"/>
  <c r="N109" i="12"/>
  <c r="N170" i="12"/>
  <c r="N176" i="12" s="1"/>
  <c r="N184" i="12" s="1"/>
  <c r="N190" i="12" s="1"/>
  <c r="N127" i="12"/>
  <c r="N118" i="12"/>
  <c r="N172" i="12" l="1"/>
  <c r="N178" i="12" s="1"/>
  <c r="N186" i="12" s="1"/>
  <c r="N192" i="12" s="1"/>
  <c r="O235" i="7" l="1"/>
  <c r="O18" i="12" s="1"/>
  <c r="O24" i="12" s="1"/>
  <c r="O233" i="7"/>
  <c r="O16" i="12" s="1"/>
  <c r="O22" i="12" s="1"/>
  <c r="O232" i="7"/>
  <c r="O15" i="12" s="1"/>
  <c r="O21" i="12" s="1"/>
  <c r="O231" i="7"/>
  <c r="O14" i="12" s="1"/>
  <c r="O20" i="12" s="1"/>
  <c r="O234" i="7"/>
  <c r="O17" i="12" s="1"/>
  <c r="O23" i="12" s="1"/>
  <c r="O240" i="7" l="1"/>
  <c r="O140" i="12" s="1"/>
  <c r="O146" i="12" s="1"/>
  <c r="O95" i="12"/>
  <c r="O98" i="12" s="1"/>
  <c r="O151" i="12"/>
  <c r="O239" i="7"/>
  <c r="O139" i="12" s="1"/>
  <c r="O145" i="12" s="1"/>
  <c r="O153" i="12"/>
  <c r="O113" i="12"/>
  <c r="O116" i="12" s="1"/>
  <c r="O238" i="7"/>
  <c r="O138" i="12" s="1"/>
  <c r="O144" i="12" s="1"/>
  <c r="O104" i="12"/>
  <c r="O107" i="12" s="1"/>
  <c r="O152" i="12"/>
  <c r="O237" i="7"/>
  <c r="O137" i="12" s="1"/>
  <c r="O143" i="12" s="1"/>
  <c r="O86" i="12"/>
  <c r="O89" i="12" s="1"/>
  <c r="O150" i="12"/>
  <c r="O122" i="12"/>
  <c r="O125" i="12" s="1"/>
  <c r="O154" i="12"/>
  <c r="O127" i="12" l="1"/>
  <c r="O241" i="7"/>
  <c r="O141" i="12" s="1"/>
  <c r="O147" i="12" s="1"/>
  <c r="O118" i="12"/>
  <c r="O100" i="12"/>
  <c r="O91" i="12"/>
  <c r="O169" i="12"/>
  <c r="O175" i="12" s="1"/>
  <c r="O183" i="12" s="1"/>
  <c r="O189" i="12" s="1"/>
  <c r="O109" i="12"/>
  <c r="O168" i="12"/>
  <c r="O174" i="12" s="1"/>
  <c r="O182" i="12" s="1"/>
  <c r="O188" i="12" s="1"/>
  <c r="O170" i="12"/>
  <c r="O176" i="12" s="1"/>
  <c r="O184" i="12" s="1"/>
  <c r="O190" i="12" s="1"/>
  <c r="O171" i="12"/>
  <c r="O177" i="12" s="1"/>
  <c r="O185" i="12" s="1"/>
  <c r="O191" i="12" s="1"/>
  <c r="O172" i="12" l="1"/>
  <c r="O178" i="12" s="1"/>
  <c r="O186" i="12" s="1"/>
  <c r="O192" i="12" s="1"/>
  <c r="P235" i="7" l="1"/>
  <c r="P18" i="12" s="1"/>
  <c r="P24" i="12" s="1"/>
  <c r="P232" i="7"/>
  <c r="P15" i="12" s="1"/>
  <c r="P21" i="12" s="1"/>
  <c r="P234" i="7"/>
  <c r="P17" i="12" s="1"/>
  <c r="P23" i="12" s="1"/>
  <c r="P231" i="7"/>
  <c r="P14" i="12" s="1"/>
  <c r="P20" i="12" s="1"/>
  <c r="P233" i="7"/>
  <c r="P16" i="12" s="1"/>
  <c r="P22" i="12" s="1"/>
  <c r="P113" i="12" l="1"/>
  <c r="P116" i="12" s="1"/>
  <c r="P153" i="12"/>
  <c r="P104" i="12"/>
  <c r="P107" i="12" s="1"/>
  <c r="P152" i="12"/>
  <c r="P151" i="12"/>
  <c r="P95" i="12"/>
  <c r="P98" i="12" s="1"/>
  <c r="P154" i="12"/>
  <c r="P122" i="12"/>
  <c r="P125" i="12" s="1"/>
  <c r="P239" i="7"/>
  <c r="P139" i="12" s="1"/>
  <c r="P145" i="12" s="1"/>
  <c r="P86" i="12"/>
  <c r="P89" i="12" s="1"/>
  <c r="P150" i="12"/>
  <c r="P237" i="7"/>
  <c r="P137" i="12" s="1"/>
  <c r="P143" i="12" s="1"/>
  <c r="P240" i="7"/>
  <c r="P140" i="12" s="1"/>
  <c r="P146" i="12" s="1"/>
  <c r="P238" i="7"/>
  <c r="P138" i="12" s="1"/>
  <c r="P144" i="12" s="1"/>
  <c r="P171" i="12" l="1"/>
  <c r="P177" i="12" s="1"/>
  <c r="P185" i="12" s="1"/>
  <c r="P191" i="12" s="1"/>
  <c r="F197" i="12" s="1"/>
  <c r="F17" i="9" s="1"/>
  <c r="P100" i="12"/>
  <c r="F101" i="12" s="1"/>
  <c r="F8" i="15" s="1"/>
  <c r="P169" i="12"/>
  <c r="P175" i="12" s="1"/>
  <c r="P183" i="12" s="1"/>
  <c r="P189" i="12" s="1"/>
  <c r="F195" i="12" s="1"/>
  <c r="F15" i="9" s="1"/>
  <c r="P170" i="12"/>
  <c r="P176" i="12" s="1"/>
  <c r="P184" i="12" s="1"/>
  <c r="P190" i="12" s="1"/>
  <c r="F196" i="12" s="1"/>
  <c r="F16" i="9" s="1"/>
  <c r="P127" i="12"/>
  <c r="F128" i="12" s="1"/>
  <c r="F11" i="15" s="1"/>
  <c r="P168" i="12"/>
  <c r="P174" i="12" s="1"/>
  <c r="P182" i="12" s="1"/>
  <c r="P188" i="12" s="1"/>
  <c r="F194" i="12" s="1"/>
  <c r="F14" i="9" s="1"/>
  <c r="P91" i="12"/>
  <c r="F92" i="12" s="1"/>
  <c r="F7" i="15" s="1"/>
  <c r="P109" i="12"/>
  <c r="F110" i="12" s="1"/>
  <c r="F9" i="15" s="1"/>
  <c r="P241" i="7"/>
  <c r="P141" i="12" s="1"/>
  <c r="P147" i="12" s="1"/>
  <c r="P118" i="12"/>
  <c r="F119" i="12" s="1"/>
  <c r="F10" i="15" s="1"/>
  <c r="P172" i="12" l="1"/>
  <c r="P178" i="12" s="1"/>
  <c r="P186" i="12" s="1"/>
  <c r="P192" i="12" s="1"/>
  <c r="F198" i="12" s="1"/>
  <c r="F18" i="9" s="1"/>
  <c r="F9" i="9" s="1"/>
  <c r="F43" i="15" l="1"/>
  <c r="F271" i="7"/>
  <c r="B68" i="16"/>
  <c r="F2" i="7"/>
  <c r="F2" i="8"/>
  <c r="F2" i="14"/>
  <c r="F2" i="9"/>
  <c r="F2" i="12"/>
  <c r="F49" i="15"/>
  <c r="F278" i="7"/>
  <c r="F272" i="7"/>
  <c r="F44" i="15"/>
  <c r="F276" i="7"/>
  <c r="F47" i="15"/>
  <c r="F275" i="7"/>
  <c r="F46" i="15"/>
  <c r="F277" i="7"/>
  <c r="F48" i="15"/>
  <c r="F41" i="15"/>
  <c r="F269" i="7"/>
  <c r="F45" i="15"/>
  <c r="F273" i="7"/>
  <c r="F270" i="7"/>
  <c r="F42" i="15"/>
  <c r="F50" i="15"/>
  <c r="F279" i="7"/>
  <c r="Q232" i="7" l="1"/>
  <c r="Q15" i="12" s="1"/>
  <c r="Q21" i="12" s="1"/>
  <c r="Q235" i="7"/>
  <c r="Q18" i="12" s="1"/>
  <c r="Q24" i="12" s="1"/>
  <c r="Q231" i="7"/>
  <c r="Q14" i="12" s="1"/>
  <c r="Q20" i="12" s="1"/>
  <c r="Q234" i="7"/>
  <c r="Q17" i="12" s="1"/>
  <c r="Q23" i="12" s="1"/>
  <c r="Q233" i="7"/>
  <c r="Q16" i="12" s="1"/>
  <c r="Q22" i="12" s="1"/>
  <c r="Q237" i="7" l="1"/>
  <c r="Q137" i="12" s="1"/>
  <c r="Q143" i="12" s="1"/>
  <c r="Q168" i="12" s="1"/>
  <c r="Q86" i="12"/>
  <c r="Q89" i="12" s="1"/>
  <c r="Q91" i="12" s="1"/>
  <c r="Q150" i="12"/>
  <c r="Q153" i="12"/>
  <c r="Q113" i="12"/>
  <c r="Q116" i="12" s="1"/>
  <c r="Q118" i="12" s="1"/>
  <c r="Q95" i="12"/>
  <c r="Q98" i="12" s="1"/>
  <c r="Q100" i="12" s="1"/>
  <c r="Q151" i="12"/>
  <c r="Q104" i="12"/>
  <c r="Q107" i="12" s="1"/>
  <c r="Q109" i="12" s="1"/>
  <c r="Q152" i="12"/>
  <c r="Q239" i="7"/>
  <c r="Q139" i="12" s="1"/>
  <c r="Q145" i="12" s="1"/>
  <c r="Q170" i="12" s="1"/>
  <c r="Q240" i="7"/>
  <c r="Q140" i="12" s="1"/>
  <c r="Q146" i="12" s="1"/>
  <c r="Q171" i="12" s="1"/>
  <c r="Q154" i="12"/>
  <c r="Q122" i="12"/>
  <c r="Q125" i="12" s="1"/>
  <c r="Q127" i="12" s="1"/>
  <c r="Q238" i="7"/>
  <c r="Q138" i="12" s="1"/>
  <c r="Q144" i="12" s="1"/>
  <c r="Q169" i="12" s="1"/>
  <c r="Q174" i="12" l="1"/>
  <c r="Q182" i="12" s="1"/>
  <c r="Q188" i="12" s="1"/>
  <c r="Q175" i="12"/>
  <c r="Q183" i="12" s="1"/>
  <c r="Q189" i="12" s="1"/>
  <c r="Q176" i="12"/>
  <c r="Q184" i="12" s="1"/>
  <c r="Q190" i="12" s="1"/>
  <c r="Q177" i="12"/>
  <c r="Q185" i="12" s="1"/>
  <c r="Q191" i="12" s="1"/>
  <c r="Q241" i="7"/>
  <c r="Q141" i="12" s="1"/>
  <c r="Q147" i="12" s="1"/>
  <c r="Q172" i="12" s="1"/>
  <c r="Q178" i="12" s="1"/>
  <c r="Q186" i="12" s="1"/>
  <c r="Q192" i="12" s="1"/>
  <c r="R233" i="7" l="1"/>
  <c r="R16" i="12" s="1"/>
  <c r="R22" i="12" s="1"/>
  <c r="R235" i="7"/>
  <c r="R18" i="12" s="1"/>
  <c r="R24" i="12" s="1"/>
  <c r="R232" i="7"/>
  <c r="R15" i="12" s="1"/>
  <c r="R21" i="12" s="1"/>
  <c r="R234" i="7"/>
  <c r="R17" i="12" s="1"/>
  <c r="R23" i="12" s="1"/>
  <c r="R231" i="7"/>
  <c r="R14" i="12" s="1"/>
  <c r="R20" i="12" s="1"/>
  <c r="R237" i="7" l="1"/>
  <c r="R137" i="12" s="1"/>
  <c r="R143" i="12" s="1"/>
  <c r="R168" i="12" s="1"/>
  <c r="R86" i="12"/>
  <c r="R89" i="12" s="1"/>
  <c r="R91" i="12" s="1"/>
  <c r="R150" i="12"/>
  <c r="R151" i="12"/>
  <c r="R95" i="12"/>
  <c r="R98" i="12" s="1"/>
  <c r="R100" i="12" s="1"/>
  <c r="R152" i="12"/>
  <c r="R104" i="12"/>
  <c r="R107" i="12" s="1"/>
  <c r="R109" i="12" s="1"/>
  <c r="R238" i="7"/>
  <c r="R138" i="12" s="1"/>
  <c r="R144" i="12" s="1"/>
  <c r="R169" i="12" s="1"/>
  <c r="R154" i="12"/>
  <c r="R122" i="12"/>
  <c r="R125" i="12" s="1"/>
  <c r="R127" i="12" s="1"/>
  <c r="R240" i="7"/>
  <c r="R140" i="12" s="1"/>
  <c r="R146" i="12" s="1"/>
  <c r="R171" i="12" s="1"/>
  <c r="R153" i="12"/>
  <c r="R113" i="12"/>
  <c r="R116" i="12" s="1"/>
  <c r="R118" i="12" s="1"/>
  <c r="R239" i="7"/>
  <c r="R139" i="12" s="1"/>
  <c r="R145" i="12" s="1"/>
  <c r="R170" i="12" s="1"/>
  <c r="R174" i="12" l="1"/>
  <c r="R182" i="12" s="1"/>
  <c r="R188" i="12" s="1"/>
  <c r="R177" i="12"/>
  <c r="R185" i="12" s="1"/>
  <c r="R191" i="12" s="1"/>
  <c r="R241" i="7"/>
  <c r="R141" i="12" s="1"/>
  <c r="R147" i="12" s="1"/>
  <c r="R172" i="12" s="1"/>
  <c r="R178" i="12" s="1"/>
  <c r="R186" i="12" s="1"/>
  <c r="R192" i="12" s="1"/>
  <c r="R175" i="12"/>
  <c r="R183" i="12" s="1"/>
  <c r="R189" i="12" s="1"/>
  <c r="R176" i="12"/>
  <c r="R184" i="12" s="1"/>
  <c r="R190" i="12" s="1"/>
  <c r="S234" i="7" l="1"/>
  <c r="S17" i="12" s="1"/>
  <c r="S23" i="12" s="1"/>
  <c r="S232" i="7"/>
  <c r="S15" i="12" s="1"/>
  <c r="S21" i="12" s="1"/>
  <c r="S235" i="7"/>
  <c r="S18" i="12" s="1"/>
  <c r="S24" i="12" s="1"/>
  <c r="S233" i="7"/>
  <c r="S16" i="12" s="1"/>
  <c r="S22" i="12" s="1"/>
  <c r="S231" i="7"/>
  <c r="S14" i="12" s="1"/>
  <c r="S20" i="12" s="1"/>
  <c r="S86" i="12" l="1"/>
  <c r="S89" i="12" s="1"/>
  <c r="S150" i="12"/>
  <c r="H20" i="12"/>
  <c r="S240" i="7"/>
  <c r="S140" i="12" s="1"/>
  <c r="S146" i="12" s="1"/>
  <c r="S104" i="12"/>
  <c r="S107" i="12" s="1"/>
  <c r="S152" i="12"/>
  <c r="H22" i="12"/>
  <c r="S122" i="12"/>
  <c r="S125" i="12" s="1"/>
  <c r="S154" i="12"/>
  <c r="H24" i="12"/>
  <c r="S238" i="7"/>
  <c r="S138" i="12" s="1"/>
  <c r="S144" i="12" s="1"/>
  <c r="S237" i="7"/>
  <c r="S137" i="12" s="1"/>
  <c r="S143" i="12" s="1"/>
  <c r="S113" i="12"/>
  <c r="S116" i="12" s="1"/>
  <c r="S153" i="12"/>
  <c r="H23" i="12"/>
  <c r="S239" i="7"/>
  <c r="S139" i="12" s="1"/>
  <c r="S145" i="12" s="1"/>
  <c r="S151" i="12"/>
  <c r="S95" i="12"/>
  <c r="S98" i="12" s="1"/>
  <c r="H21" i="12"/>
  <c r="H95" i="12" l="1"/>
  <c r="H151" i="12"/>
  <c r="H16" i="14"/>
  <c r="K16" i="14" s="1"/>
  <c r="S241" i="7"/>
  <c r="S141" i="12" s="1"/>
  <c r="S147" i="12" s="1"/>
  <c r="S169" i="12"/>
  <c r="S175" i="12" s="1"/>
  <c r="S183" i="12" s="1"/>
  <c r="S189" i="12" s="1"/>
  <c r="H144" i="12"/>
  <c r="S109" i="12"/>
  <c r="H107" i="12"/>
  <c r="S171" i="12"/>
  <c r="S177" i="12" s="1"/>
  <c r="S185" i="12" s="1"/>
  <c r="S191" i="12" s="1"/>
  <c r="H146" i="12"/>
  <c r="S118" i="12"/>
  <c r="H116" i="12"/>
  <c r="H154" i="12"/>
  <c r="H122" i="12"/>
  <c r="H19" i="14"/>
  <c r="K19" i="14" s="1"/>
  <c r="H86" i="12"/>
  <c r="H15" i="14"/>
  <c r="K15" i="14" s="1"/>
  <c r="H150" i="12"/>
  <c r="S170" i="12"/>
  <c r="S176" i="12" s="1"/>
  <c r="S184" i="12" s="1"/>
  <c r="S190" i="12" s="1"/>
  <c r="H145" i="12"/>
  <c r="S168" i="12"/>
  <c r="S174" i="12" s="1"/>
  <c r="S182" i="12" s="1"/>
  <c r="S188" i="12" s="1"/>
  <c r="H143" i="12"/>
  <c r="H104" i="12"/>
  <c r="H152" i="12"/>
  <c r="H17" i="14"/>
  <c r="K17" i="14" s="1"/>
  <c r="S100" i="12"/>
  <c r="H98" i="12"/>
  <c r="H18" i="14"/>
  <c r="K18" i="14" s="1"/>
  <c r="H113" i="12"/>
  <c r="H153" i="12"/>
  <c r="S127" i="12"/>
  <c r="H125" i="12"/>
  <c r="S91" i="12"/>
  <c r="H89" i="12"/>
  <c r="H100" i="12" l="1"/>
  <c r="H10" i="14"/>
  <c r="K10" i="14" s="1"/>
  <c r="H109" i="12"/>
  <c r="H11" i="14"/>
  <c r="K11" i="14" s="1"/>
  <c r="S172" i="12"/>
  <c r="S178" i="12" s="1"/>
  <c r="S186" i="12" s="1"/>
  <c r="S192" i="12" s="1"/>
  <c r="H147" i="12"/>
  <c r="H91" i="12"/>
  <c r="H9" i="14"/>
  <c r="K9" i="14" s="1"/>
  <c r="H168" i="12"/>
  <c r="H21" i="14"/>
  <c r="K21" i="14" s="1"/>
  <c r="H24" i="14"/>
  <c r="K24" i="14" s="1"/>
  <c r="H171" i="12"/>
  <c r="H169" i="12"/>
  <c r="H22" i="14"/>
  <c r="K22" i="14" s="1"/>
  <c r="H13" i="14"/>
  <c r="K13" i="14" s="1"/>
  <c r="H127" i="12"/>
  <c r="H170" i="12"/>
  <c r="H23" i="14"/>
  <c r="K23" i="14" s="1"/>
  <c r="H12" i="14"/>
  <c r="K12" i="14" s="1"/>
  <c r="H118" i="12"/>
  <c r="H172" i="12" l="1"/>
  <c r="H25" i="14"/>
  <c r="K25" i="14" s="1"/>
  <c r="J2" i="14" l="1"/>
  <c r="H235" i="7" l="1"/>
  <c r="H18" i="12" s="1"/>
  <c r="H233" i="7"/>
  <c r="H16" i="12" s="1"/>
  <c r="H232" i="7"/>
  <c r="H15" i="12" s="1"/>
  <c r="H231" i="7"/>
  <c r="H14" i="12" s="1"/>
  <c r="H234" i="7"/>
  <c r="H17" i="12" s="1"/>
  <c r="H238" i="7" l="1"/>
  <c r="H138" i="12" s="1"/>
  <c r="H240" i="7"/>
  <c r="H140" i="12" s="1"/>
  <c r="H237" i="7"/>
  <c r="H137" i="12" s="1"/>
  <c r="H239" i="7"/>
  <c r="H139" i="12" s="1"/>
  <c r="H241" i="7" l="1"/>
  <c r="H141" i="12" s="1"/>
  <c r="F255" i="7" l="1"/>
  <c r="F15" i="15" s="1"/>
</calcChain>
</file>

<file path=xl/sharedStrings.xml><?xml version="1.0" encoding="utf-8"?>
<sst xmlns="http://schemas.openxmlformats.org/spreadsheetml/2006/main" count="664" uniqueCount="349">
  <si>
    <t>Workbook title:</t>
  </si>
  <si>
    <t>PR24 Tax reconciliation tool</t>
  </si>
  <si>
    <t>Version:</t>
  </si>
  <si>
    <t>3b</t>
  </si>
  <si>
    <t>Filename:</t>
  </si>
  <si>
    <t>Date:</t>
  </si>
  <si>
    <t>Author:</t>
  </si>
  <si>
    <t>Ofwat</t>
  </si>
  <si>
    <t>Author contact information:</t>
  </si>
  <si>
    <t>Summary of workbook:</t>
  </si>
  <si>
    <t>Known limitations:</t>
  </si>
  <si>
    <t>None</t>
  </si>
  <si>
    <t>Instructions:</t>
  </si>
  <si>
    <t>1) Create new version of the financial model with revised statutory tax rates and writing down allowances</t>
  </si>
  <si>
    <t>2) Update the interest rates in the new model to reflect the weighted interest rates implied by the CoD reconciliation model</t>
  </si>
  <si>
    <t>3) Ensure that the reprofiling functionality is turned off in the FD financial model and the revised model. This is done by changing the InpOverride'!F$1304 from 1 to 0 in both financial models</t>
  </si>
  <si>
    <t xml:space="preserve">4) Set the tax allowance switches for Totex and WRFIM to ensure the Totex and WRFIM tax allowance alerts are green. </t>
  </si>
  <si>
    <t>This is important to ensure that the correct tax is applied to these past performance adjustments. The financial model</t>
  </si>
  <si>
    <t xml:space="preserve">automatically applie tax on top of revenue. These flags ensure that the Totex and WRFIM values are deflated, so that when a tax allowance is </t>
  </si>
  <si>
    <t>applied on top the correct value flows through the financial model.</t>
  </si>
  <si>
    <t>The alerts are brought into this model so that they can be reviewed before finalising the model outputs</t>
  </si>
  <si>
    <t>5) Enter the wholesale WACC (real CPIH deflated) for each wholesale control into this model</t>
  </si>
  <si>
    <t>6) Update the links in this reconciliation model so that it points at the FD model and the revised model</t>
  </si>
  <si>
    <t>7) Recalcuate the model</t>
  </si>
  <si>
    <t>Amendments:</t>
  </si>
  <si>
    <t>Model updated to reflect changes in FD financial model. User instructions updated to include totex and WRFIM switches.</t>
  </si>
  <si>
    <t>References:</t>
  </si>
  <si>
    <t>FD model</t>
  </si>
  <si>
    <t>Revised model</t>
  </si>
  <si>
    <t>Error Checks:</t>
  </si>
  <si>
    <t>RAG status / Variance</t>
  </si>
  <si>
    <t>Changes from previous version:</t>
  </si>
  <si>
    <t>Updated the guidance to explain how to turn reprofiling off in the financial models</t>
  </si>
  <si>
    <r>
      <t xml:space="preserve">Updated the guidance to confirm that it should be the real </t>
    </r>
    <r>
      <rPr>
        <u/>
        <sz val="10"/>
        <color theme="1"/>
        <rFont val="Arial"/>
        <family val="2"/>
      </rPr>
      <t>wholesale</t>
    </r>
    <r>
      <rPr>
        <sz val="10"/>
        <color theme="1"/>
        <rFont val="Arial"/>
        <family val="2"/>
      </rPr>
      <t xml:space="preserve"> WACC (deflated by CPIH) that should be used in this model</t>
    </r>
  </si>
  <si>
    <t>Created new inputs for the WRFIM and totex reconciliation adjustments in each of the financial models:</t>
  </si>
  <si>
    <t>Added new calculations for difference in totex and WRFIM adjustments</t>
  </si>
  <si>
    <t>Updated check to include difference in totex and WRFIM adjustments</t>
  </si>
  <si>
    <t>END OF SHEET</t>
  </si>
  <si>
    <t>ASSUMPTIONS</t>
  </si>
  <si>
    <t>INPUTS</t>
  </si>
  <si>
    <t>CALCULATIONS</t>
  </si>
  <si>
    <t>OUTPUTS</t>
  </si>
  <si>
    <t>Model documentation sheet</t>
  </si>
  <si>
    <t xml:space="preserve">Inputs </t>
  </si>
  <si>
    <t>Flags and dates</t>
  </si>
  <si>
    <t>Summary ofkey inputs and outputs</t>
  </si>
  <si>
    <t>Explanation of different formatting types</t>
  </si>
  <si>
    <t>Main calculation sheet of model</t>
  </si>
  <si>
    <t>Checks</t>
  </si>
  <si>
    <t>Table of contents</t>
  </si>
  <si>
    <t>Sheet to track key outputs from the model</t>
  </si>
  <si>
    <t>END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</si>
  <si>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</si>
  <si>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</si>
  <si>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</si>
  <si>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</si>
  <si>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</si>
  <si>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</si>
  <si>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</si>
  <si>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</si>
  <si>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</si>
  <si>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</si>
  <si>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</si>
  <si>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</si>
  <si>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</si>
  <si>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</si>
  <si>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</si>
  <si>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</si>
  <si>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</si>
  <si>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</si>
  <si>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</si>
  <si>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</si>
  <si>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</si>
  <si>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</si>
  <si>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</si>
  <si>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</si>
  <si>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</si>
  <si>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</si>
  <si>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</si>
  <si>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</si>
  <si>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</si>
  <si>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</si>
  <si>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</si>
  <si>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</si>
  <si>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</si>
  <si>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</si>
  <si>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</si>
  <si>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</si>
  <si>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</si>
  <si>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</si>
  <si>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</si>
  <si>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</si>
  <si>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</si>
  <si>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</si>
  <si>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</si>
  <si>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</si>
  <si>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</si>
  <si>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</si>
  <si>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Error chks</t>
  </si>
  <si>
    <t>Constant</t>
  </si>
  <si>
    <t>Unit</t>
  </si>
  <si>
    <t>Total</t>
  </si>
  <si>
    <t>TIME</t>
  </si>
  <si>
    <t>First date of time ruler</t>
  </si>
  <si>
    <t>date</t>
  </si>
  <si>
    <t>Last Pre Forecast Date</t>
  </si>
  <si>
    <t>Acquisition date (midnight)</t>
  </si>
  <si>
    <t>Last forecast date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</si>
  <si>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</si>
  <si>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</si>
  <si>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</si>
  <si>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</si>
  <si>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</si>
  <si>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NON CHANGEABLE INPUTS</t>
  </si>
  <si>
    <t>Model Check Tolerance Level</t>
  </si>
  <si>
    <t>tolerance</t>
  </si>
  <si>
    <t>Model Track Tolerance Level</t>
  </si>
  <si>
    <t>NET PRESENT VALUE CALCULATION INPUTS</t>
  </si>
  <si>
    <t>WACC - WR</t>
  </si>
  <si>
    <t>%</t>
  </si>
  <si>
    <t>WACC - WN</t>
  </si>
  <si>
    <t>WACC - WWN</t>
  </si>
  <si>
    <t>WACC - BR</t>
  </si>
  <si>
    <t>WACC - DMMY</t>
  </si>
  <si>
    <t>Financing cost index</t>
  </si>
  <si>
    <t>Index</t>
  </si>
  <si>
    <t>MANUAL INPUTS</t>
  </si>
  <si>
    <t>Adjustment to reflect the difference between full tax value and the value paid/received of any tax losses received/surrendered to the group (negative number)</t>
  </si>
  <si>
    <t>Manual adjustment - WR - real</t>
  </si>
  <si>
    <t>£m</t>
  </si>
  <si>
    <t>Manual adjustment - WN - real</t>
  </si>
  <si>
    <t>Manual adjustment - WWN - real</t>
  </si>
  <si>
    <t>Manual adjustment - BR - real</t>
  </si>
  <si>
    <t>Manual adjustment - DMMY - real</t>
  </si>
  <si>
    <t>FD MODEL INPUTS</t>
  </si>
  <si>
    <t>NEW MODEL INPUTS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</si>
  <si>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</si>
  <si>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</si>
  <si>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</si>
  <si>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</si>
  <si>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</si>
  <si>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</si>
  <si>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</si>
  <si>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</si>
  <si>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</si>
  <si>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</si>
  <si>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</si>
  <si>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</si>
  <si>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</si>
  <si>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</si>
  <si>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</si>
  <si>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</si>
  <si>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</si>
  <si>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</si>
  <si>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</si>
  <si>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</si>
  <si>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</si>
  <si>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</si>
  <si>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</si>
  <si>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</si>
  <si>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</si>
  <si>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</si>
  <si>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</si>
  <si>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</si>
  <si>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</si>
  <si>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</si>
  <si>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</si>
  <si>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</si>
  <si>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</si>
  <si>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</si>
  <si>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</si>
  <si>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</si>
  <si>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</si>
  <si>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Tax differences</t>
  </si>
  <si>
    <t>Difference in tax revenue WR - real</t>
  </si>
  <si>
    <t>Difference in tax revenue WN - real</t>
  </si>
  <si>
    <t>Difference in tax revenue WWN - real</t>
  </si>
  <si>
    <t>Difference in tax revenue BR - real</t>
  </si>
  <si>
    <t>Difference in tax revenue DMMY - real</t>
  </si>
  <si>
    <t>Reconciliation items differences</t>
  </si>
  <si>
    <t>Difference in Totex adjustment WR - real</t>
  </si>
  <si>
    <t>Difference in Totex adjustment WN - real</t>
  </si>
  <si>
    <t>Difference in Totex adjustment WWN - real</t>
  </si>
  <si>
    <t>Difference in Totex adjustment BR - real</t>
  </si>
  <si>
    <t>Difference in Totex adjustment DMMY - real</t>
  </si>
  <si>
    <t>Difference in WRFIM adjustment WR - real</t>
  </si>
  <si>
    <t>Difference in WRFIM adjustment WN - real</t>
  </si>
  <si>
    <t>Difference in WRFIM adjustment WWN - real</t>
  </si>
  <si>
    <t>Difference in WRFIM adjustment BR - real</t>
  </si>
  <si>
    <t>Difference in WRFIM adjustment DMMY - real</t>
  </si>
  <si>
    <t>Time value of money factors</t>
  </si>
  <si>
    <t>Time value of money factor - WR</t>
  </si>
  <si>
    <t>Factor</t>
  </si>
  <si>
    <t>Time value of money factor - WN</t>
  </si>
  <si>
    <t>Time value of money factor - WWN</t>
  </si>
  <si>
    <t>Time value of money factor - BR</t>
  </si>
  <si>
    <t>Time value of money factor - DMMY</t>
  </si>
  <si>
    <t>Revenue adjustment for WR</t>
  </si>
  <si>
    <t>Revenue adjustment for WR - real</t>
  </si>
  <si>
    <t>Total Revenue adjustment for WR - real</t>
  </si>
  <si>
    <t>Revenue adjustment for WN</t>
  </si>
  <si>
    <t>Revenue adjustment for WN - real</t>
  </si>
  <si>
    <t>Total Revenue adjustment for WN - real</t>
  </si>
  <si>
    <t>Revenue adjustment for WWN</t>
  </si>
  <si>
    <t>Revenue adjustment for WWN - real</t>
  </si>
  <si>
    <t>Total Revenue adjustment for WWN - real</t>
  </si>
  <si>
    <t>Revenue adjustment for BR</t>
  </si>
  <si>
    <t>Revenue adjustment for BR - real</t>
  </si>
  <si>
    <t>Total Revenue adjustment for BR  real</t>
  </si>
  <si>
    <t>Revenue adjustment for DMMY</t>
  </si>
  <si>
    <t>Revenue adjustment for DMMY - real</t>
  </si>
  <si>
    <t>Total Revenue adjustment for DMMY - real</t>
  </si>
  <si>
    <t>Allowed revenue difference</t>
  </si>
  <si>
    <t>Difference in allowed revenue WR - real</t>
  </si>
  <si>
    <t>Difference in allowed revenue WN - real</t>
  </si>
  <si>
    <t>Difference in allowed revenue WWN - real</t>
  </si>
  <si>
    <t>Difference in allowed revenue BR - real</t>
  </si>
  <si>
    <t>Difference in allowed revenue DMMY - real</t>
  </si>
  <si>
    <t>Check</t>
  </si>
  <si>
    <t>Difference on tax - difference on allowed revenue (adjusted for reconciliation adjustments) WR</t>
  </si>
  <si>
    <t>Difference on tax - difference on allowed revenue (adjusted for reconciliation adjustments) WN</t>
  </si>
  <si>
    <t>Difference on tax - difference on allowed revenue (adjusted for reconciliation adjustments) WWN</t>
  </si>
  <si>
    <t>Difference on tax - difference on allowed revenue (adjusted for reconciliation adjustments) BR</t>
  </si>
  <si>
    <t>Difference on tax - difference on allowed revenue (adjusted for reconciliation adjustments) DMMY</t>
  </si>
  <si>
    <t>Check  - difference on tax - difference on allowed revenue WR</t>
  </si>
  <si>
    <t>Check  - difference on tax - difference on allowed revenue WN</t>
  </si>
  <si>
    <t>Check  - difference on tax - difference on allowed revenue WWN</t>
  </si>
  <si>
    <t>Check  - difference on tax - difference on allowed revenue BR</t>
  </si>
  <si>
    <t>Check  - difference on tax - difference on allowed revenue DMMY</t>
  </si>
  <si>
    <t>Check summary WR</t>
  </si>
  <si>
    <t>Check summary WN</t>
  </si>
  <si>
    <t>Check summary WWN</t>
  </si>
  <si>
    <t>Check summary BR</t>
  </si>
  <si>
    <t>Check summary DMMY</t>
  </si>
  <si>
    <t>FD model name</t>
  </si>
  <si>
    <t>New model name</t>
  </si>
  <si>
    <t>Wholesale control</t>
  </si>
  <si>
    <t>Price base</t>
  </si>
  <si>
    <t>Allowed revenue adjustment £m</t>
  </si>
  <si>
    <t>Water Resources</t>
  </si>
  <si>
    <t>Real - 2017/18 FYA CPIH deflated</t>
  </si>
  <si>
    <t>Water Network</t>
  </si>
  <si>
    <t>Wastewater Network</t>
  </si>
  <si>
    <t>Bioresources</t>
  </si>
  <si>
    <t>Dummy</t>
  </si>
  <si>
    <t>New model</t>
  </si>
  <si>
    <t>Reprofiling switch</t>
  </si>
  <si>
    <t>Model error checks</t>
  </si>
  <si>
    <t>Capital expenditure writing down allowance pool 1</t>
  </si>
  <si>
    <t>Capital expenditure writing down allowance pool 2</t>
  </si>
  <si>
    <t>Capital expenditure writing down allowance pool 3</t>
  </si>
  <si>
    <t>2020-21 statutory tax rate</t>
  </si>
  <si>
    <t>2021-22 statutory tax rate</t>
  </si>
  <si>
    <t>2022-23 statutory tax rate</t>
  </si>
  <si>
    <t>2023-24 statutory tax rate</t>
  </si>
  <si>
    <t>2024-25 statutory tax rate</t>
  </si>
  <si>
    <t>2020-21 index linked debt interest rate</t>
  </si>
  <si>
    <t>2021-22 index linked debt interest rate</t>
  </si>
  <si>
    <t>2022-23 index linked debt interest rate</t>
  </si>
  <si>
    <t>2023-24 index linked debt interest rate</t>
  </si>
  <si>
    <t>2024-25 index linked debt interest rate</t>
  </si>
  <si>
    <t>2020-21 index linked debt indexation rate</t>
  </si>
  <si>
    <t>2021-22 index linked debt indexation rate</t>
  </si>
  <si>
    <t>2022-23 index linked debt indexation rate</t>
  </si>
  <si>
    <t>2023-24 index linked debt indexation rate</t>
  </si>
  <si>
    <t>2024-25 index linked debt indexation rate</t>
  </si>
  <si>
    <t>2020-21 nominal debt interest rate</t>
  </si>
  <si>
    <t>2021-22 nominal debt interest rate</t>
  </si>
  <si>
    <t>2022-23 nominal debt interest rate</t>
  </si>
  <si>
    <t>2023-24 nominal debt interest rate</t>
  </si>
  <si>
    <t>2024-25 nominal debt interest rate</t>
  </si>
  <si>
    <t>Totex - Tax allowance 5 year alert - WR</t>
  </si>
  <si>
    <t>Totex - Tax allowance 5 year alert - WN</t>
  </si>
  <si>
    <t>Totex - Tax allowance 5 year alert - WWN</t>
  </si>
  <si>
    <t>Totex - Tax allowance 5 year alert - BR</t>
  </si>
  <si>
    <t>Totex - Tax allowance 5 year alert - DMMY</t>
  </si>
  <si>
    <t>WRFIM - Tax allowance 5 year alert - WR</t>
  </si>
  <si>
    <t>WRFIM - Tax allowance 5 year alert - WN</t>
  </si>
  <si>
    <t>WRFIM - Tax allowance 5 year alert - WWN</t>
  </si>
  <si>
    <t>WRFIM - Tax allowance 5 year alert - BR</t>
  </si>
  <si>
    <t>WRFIM - Tax allowance 5 year alert - DMMY</t>
  </si>
  <si>
    <t>CHECK SUMMARY</t>
  </si>
  <si>
    <t>Total Checks</t>
  </si>
  <si>
    <t xml:space="preserve">check </t>
  </si>
  <si>
    <t>[do not delete this row]</t>
  </si>
  <si>
    <t>[range start]</t>
  </si>
  <si>
    <t>[range ends]</t>
  </si>
  <si>
    <t>do not del col</t>
  </si>
  <si>
    <t>Store Track Results</t>
  </si>
  <si>
    <t>Difference</t>
  </si>
  <si>
    <t>Diff Pct</t>
  </si>
  <si>
    <t>Comparison column label</t>
  </si>
  <si>
    <t>test</t>
  </si>
  <si>
    <t>[do not delete row]</t>
  </si>
  <si>
    <t>INFO ONLY</t>
  </si>
  <si>
    <t>Date</t>
  </si>
  <si>
    <t>Time</t>
  </si>
  <si>
    <t>File</t>
  </si>
  <si>
    <t>range end</t>
  </si>
  <si>
    <t>Comment: Key input and logic changes</t>
  </si>
  <si>
    <t>Comment: Key result changes</t>
  </si>
  <si>
    <t>End of sheet</t>
  </si>
  <si>
    <t>OfwatPAndO@ofwat.gov.uk</t>
  </si>
  <si>
    <t>Tax-reconciliation-tool-Dec-2020-v3b.xlsb</t>
  </si>
  <si>
    <t>Done</t>
  </si>
  <si>
    <t>No change to FD model, tax allowance already not allowed</t>
  </si>
  <si>
    <t>PR19 Financial Model - Capital allowance update</t>
  </si>
  <si>
    <t xml:space="preserve">Tax WR - real </t>
  </si>
  <si>
    <t xml:space="preserve">Tax WN - real </t>
  </si>
  <si>
    <t>Tax WWN - real</t>
  </si>
  <si>
    <t>Tax BR - real</t>
  </si>
  <si>
    <t>Tax DMMY - real</t>
  </si>
  <si>
    <t>Water resources - Allowed Revenues - real</t>
  </si>
  <si>
    <t>Water network - Allowed Revenues - real</t>
  </si>
  <si>
    <t>Wastewater network - Allowed Revenues - real</t>
  </si>
  <si>
    <t>Bio resources - Allowed Revenues - real</t>
  </si>
  <si>
    <t>Dummy control - Allowed Revenues - real</t>
  </si>
  <si>
    <t>Statutory Corporation tax rate</t>
  </si>
  <si>
    <t>Global input</t>
  </si>
  <si>
    <t>Totex - Tax allowance switch - WR</t>
  </si>
  <si>
    <t>0 = Allowed, 1 = Not allowed</t>
  </si>
  <si>
    <t>na</t>
  </si>
  <si>
    <t>Totex - Tax allowance switch - WN</t>
  </si>
  <si>
    <t>Totex - Tax allowance switch - WWN</t>
  </si>
  <si>
    <t>Totex - Tax allowance switch - BR</t>
  </si>
  <si>
    <t>Totex - Tax allowance switch - DMMY</t>
  </si>
  <si>
    <t>WRFIM - Tax allowance switch - WR</t>
  </si>
  <si>
    <t>WRFIM - Tax allowance switch - WN</t>
  </si>
  <si>
    <t>WRFIM - Tax allowance switch - WWN</t>
  </si>
  <si>
    <t>WRFIM - Tax allowance switch - BR</t>
  </si>
  <si>
    <t>WRFIM - Tax allowance switch - DMMY</t>
  </si>
  <si>
    <t>alert</t>
  </si>
  <si>
    <t>Notional Cost of Debt override - real</t>
  </si>
  <si>
    <t>Indexation rate for index linked debt percentage increase - override</t>
  </si>
  <si>
    <t>Notional Cost of Debt override (nominal)</t>
  </si>
  <si>
    <t>Re-profiled revenues active switch - WR, WN, WWN, BR, DMMY</t>
  </si>
  <si>
    <t>1 = Active, 0 = Inactive</t>
  </si>
  <si>
    <t>Total 5 year model integrity checks</t>
  </si>
  <si>
    <t>checks</t>
  </si>
  <si>
    <t>Water resources - Totex (+ or -) Value Chosen - active - adjusted - real</t>
  </si>
  <si>
    <t>Water resources - WRFIM (+ or -) Value Chosen - active - adjusted - real</t>
  </si>
  <si>
    <t>Water network - Totex (+ or -) Value Chosen - active - adjusted - real</t>
  </si>
  <si>
    <t>Water network - WRFIM (+ or -) Value Chosen - active - adjusted - real</t>
  </si>
  <si>
    <t>Wastewater network - Totex (+ or -) Value Chosen - active - adjusted - real</t>
  </si>
  <si>
    <t>Wastewater network - WRFIM (+ or -) Value Chosen - active - adjusted - real</t>
  </si>
  <si>
    <t>Bio resources - Totex (+ or -) Value Chosen - active - adjusted - real</t>
  </si>
  <si>
    <t>Bio resources - WRFIM (+ or -) Value Chosen - active - adjusted - real</t>
  </si>
  <si>
    <t>Dummy control - Totex (+ or -) Value Chosen - active - adjusted - real</t>
  </si>
  <si>
    <t>Dummy control - WRFIM (+ or -) Value Chosen - active - adjusted -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</si>
</sst>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#,##0.000_);\(#,##0.000\);&quot;-  &quot;;&quot; &quot;@&quot; &quot;"/>
    <numFmt numFmtId="176" formatCode="0.00%_);\-0.00%_);&quot;-  &quot;;&quot; &quot;@&quot; &quot;"/>
    <numFmt numFmtId="177" formatCode="#,##0.000"/>
    <numFmt numFmtId="178" formatCode="dd\ mmm\ yyyy_);\(###0\);&quot;-  &quot;;&quot; &quot;@&quot; &quot;"/>
    <numFmt numFmtId="179" formatCode="dd\ mmm\ yy_);\(###0\);&quot;-  &quot;;&quot; &quot;@&quot; &quot;"/>
    <numFmt numFmtId="180" formatCode="###0_);\(###0\);&quot;-  &quot;;&quot; &quot;@&quot; &quot;"/>
    <numFmt numFmtId="181" formatCode="#,##0.00_);\(#,##0.00\);&quot;-  &quot;;&quot; &quot;@&quot; &quot;"/>
    <numFmt numFmtId="182" formatCode="0.00%_);\-0.00%_);&quot;-  &quot;;&quot; &quot;@"/>
    <numFmt numFmtId="183" formatCode="dd/mmm/yy_);;&quot;-  &quot;;&quot; &quot;@"/>
    <numFmt numFmtId="184" formatCode="[$-F400]h:mm:ss\ AM/PM"/>
    <numFmt numFmtId="185" formatCode="[$-14009]hh:mm:ss;@"/>
  </numFmts>
  <fonts count="60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0"/>
      <name val="Arial Narrow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i/>
      <sz val="10"/>
      <color rgb="FF00B050"/>
      <name val="Arial"/>
      <family val="2"/>
    </font>
    <font>
      <i/>
      <u/>
      <sz val="10"/>
      <color rgb="FF00B050"/>
      <name val="Arial"/>
      <family val="2"/>
    </font>
    <font>
      <b/>
      <sz val="20"/>
      <color theme="0"/>
      <name val="Arial"/>
      <family val="2"/>
    </font>
    <font>
      <u/>
      <sz val="20"/>
      <name val="Arial"/>
      <family val="2"/>
    </font>
    <font>
      <i/>
      <sz val="20"/>
      <color rgb="FF00B05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i/>
      <u/>
      <sz val="10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color rgb="FF0000FF"/>
      <name val="Arial"/>
      <family val="2"/>
    </font>
    <font>
      <sz val="16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i/>
      <sz val="11"/>
      <name val="Arial"/>
      <family val="2"/>
    </font>
    <font>
      <b/>
      <sz val="10"/>
      <color theme="1"/>
      <name val="+mj-lt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u/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40A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165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1" fillId="0" borderId="0" applyFon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3" fillId="46" borderId="0" applyNumberFormat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166" fontId="1" fillId="43" borderId="0" applyNumberFormat="0" applyFont="0" applyBorder="0" applyAlignment="0" applyProtection="0"/>
    <xf numFmtId="0" fontId="1" fillId="44" borderId="0" applyNumberFormat="0" applyFont="0" applyBorder="0" applyAlignment="0" applyProtection="0"/>
    <xf numFmtId="167" fontId="24" fillId="0" borderId="0" applyNumberFormat="0" applyProtection="0">
      <alignment vertical="top"/>
    </xf>
    <xf numFmtId="167" fontId="25" fillId="0" borderId="0" applyNumberFormat="0" applyProtection="0">
      <alignment vertical="top"/>
    </xf>
    <xf numFmtId="167" fontId="18" fillId="45" borderId="0" applyNumberFormat="0" applyProtection="0">
      <alignment vertical="top"/>
    </xf>
    <xf numFmtId="9" fontId="1" fillId="0" borderId="0" applyFont="0" applyFill="0" applyBorder="0" applyAlignment="0" applyProtection="0"/>
    <xf numFmtId="0" fontId="30" fillId="0" borderId="0" applyNumberForma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9" fontId="18" fillId="0" borderId="0" applyFont="0" applyFill="0" applyBorder="0" applyProtection="0">
      <alignment vertical="top"/>
    </xf>
    <xf numFmtId="170" fontId="18" fillId="0" borderId="0" applyFont="0" applyFill="0" applyBorder="0" applyProtection="0">
      <alignment vertical="top"/>
    </xf>
    <xf numFmtId="0" fontId="19" fillId="0" borderId="0"/>
    <xf numFmtId="0" fontId="20" fillId="0" borderId="0"/>
    <xf numFmtId="0" fontId="21" fillId="0" borderId="0"/>
    <xf numFmtId="169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180" fontId="1" fillId="0" borderId="0" applyFont="0" applyFill="0" applyBorder="0" applyProtection="0">
      <alignment vertical="top"/>
    </xf>
    <xf numFmtId="165" fontId="41" fillId="0" borderId="0" applyFont="0" applyFill="0" applyBorder="0" applyProtection="0">
      <alignment vertical="top"/>
    </xf>
    <xf numFmtId="176" fontId="18" fillId="0" borderId="0" applyFont="0" applyFill="0" applyBorder="0" applyProtection="0">
      <alignment vertical="top"/>
    </xf>
    <xf numFmtId="0" fontId="54" fillId="60" borderId="0" applyNumberFormat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57" fillId="0" borderId="0" applyNumberFormat="0" applyFill="0" applyAlignment="0" applyProtection="0"/>
    <xf numFmtId="0" fontId="58" fillId="62" borderId="0" applyNumberFormat="0" applyBorder="0" applyAlignment="0" applyProtection="0"/>
    <xf numFmtId="0" fontId="58" fillId="60" borderId="0" applyNumberFormat="0" applyAlignment="0" applyProtection="0"/>
  </cellStyleXfs>
  <cellXfs count="320">
    <xf numFmtId="165" fontId="0" fillId="0" borderId="0" xfId="0">
      <alignment vertical="top"/>
    </xf>
    <xf numFmtId="165" fontId="0" fillId="44" borderId="0" xfId="0" applyFill="1">
      <alignment vertical="top"/>
    </xf>
    <xf numFmtId="165" fontId="25" fillId="0" borderId="0" xfId="0" applyFont="1" applyBorder="1">
      <alignment vertical="top"/>
    </xf>
    <xf numFmtId="165" fontId="18" fillId="45" borderId="0" xfId="0" applyFont="1" applyFill="1" applyBorder="1">
      <alignment vertical="top"/>
    </xf>
    <xf numFmtId="0" fontId="24" fillId="0" borderId="0" xfId="55" applyNumberFormat="1">
      <alignment vertical="top"/>
    </xf>
    <xf numFmtId="165" fontId="22" fillId="0" borderId="0" xfId="0" applyFont="1" applyBorder="1">
      <alignment vertical="top"/>
    </xf>
    <xf numFmtId="165" fontId="18" fillId="0" borderId="0" xfId="0" applyFont="1" applyBorder="1" applyAlignment="1">
      <alignment horizontal="right" vertical="top"/>
    </xf>
    <xf numFmtId="165" fontId="18" fillId="0" borderId="0" xfId="0" applyFont="1" applyBorder="1">
      <alignment vertical="top"/>
    </xf>
    <xf numFmtId="165" fontId="18" fillId="0" borderId="0" xfId="0" applyFont="1">
      <alignment vertical="top"/>
    </xf>
    <xf numFmtId="165" fontId="18" fillId="43" borderId="0" xfId="0" applyFont="1" applyFill="1" applyBorder="1">
      <alignment vertical="top"/>
    </xf>
    <xf numFmtId="165" fontId="23" fillId="0" borderId="0" xfId="0" applyFont="1" applyFill="1">
      <alignment vertical="top"/>
    </xf>
    <xf numFmtId="165" fontId="18" fillId="0" borderId="0" xfId="0" applyFont="1" applyAlignment="1">
      <alignment horizontal="right" vertical="top"/>
    </xf>
    <xf numFmtId="165" fontId="23" fillId="0" borderId="0" xfId="0" applyFont="1">
      <alignment vertical="top"/>
    </xf>
    <xf numFmtId="165" fontId="22" fillId="0" borderId="0" xfId="0" applyFont="1">
      <alignment vertical="top"/>
    </xf>
    <xf numFmtId="165" fontId="16" fillId="44" borderId="0" xfId="0" applyFont="1" applyFill="1">
      <alignment vertical="top"/>
    </xf>
    <xf numFmtId="165" fontId="1" fillId="0" borderId="0" xfId="0" applyFont="1">
      <alignment vertical="top"/>
    </xf>
    <xf numFmtId="165" fontId="0" fillId="0" borderId="0" xfId="0" applyFont="1">
      <alignment vertical="top"/>
    </xf>
    <xf numFmtId="165" fontId="18" fillId="48" borderId="0" xfId="0" applyFont="1" applyFill="1">
      <alignment vertical="top"/>
    </xf>
    <xf numFmtId="165" fontId="18" fillId="48" borderId="0" xfId="0" applyFont="1" applyFill="1" applyAlignment="1">
      <alignment horizontal="right" vertical="top"/>
    </xf>
    <xf numFmtId="165" fontId="23" fillId="48" borderId="0" xfId="0" applyFont="1" applyFill="1">
      <alignment vertical="top"/>
    </xf>
    <xf numFmtId="165" fontId="22" fillId="48" borderId="0" xfId="0" applyFont="1" applyFill="1">
      <alignment vertical="top"/>
    </xf>
    <xf numFmtId="167" fontId="27" fillId="0" borderId="0" xfId="0" applyNumberFormat="1" applyFont="1" applyFill="1">
      <alignment vertical="top"/>
    </xf>
    <xf numFmtId="179" fontId="18" fillId="0" borderId="0" xfId="61" applyFont="1">
      <alignment vertical="top"/>
    </xf>
    <xf numFmtId="178" fontId="18" fillId="0" borderId="0" xfId="60" applyFont="1" applyFill="1">
      <alignment vertical="top"/>
    </xf>
    <xf numFmtId="171" fontId="18" fillId="0" borderId="0" xfId="0" applyNumberFormat="1" applyFont="1" applyFill="1">
      <alignment vertical="top"/>
    </xf>
    <xf numFmtId="178" fontId="18" fillId="0" borderId="0" xfId="60" applyFont="1">
      <alignment vertical="top"/>
    </xf>
    <xf numFmtId="171" fontId="18" fillId="0" borderId="0" xfId="0" applyNumberFormat="1" applyFont="1" applyBorder="1">
      <alignment vertical="top"/>
    </xf>
    <xf numFmtId="179" fontId="18" fillId="0" borderId="0" xfId="61" applyFont="1" applyBorder="1">
      <alignment vertical="top"/>
    </xf>
    <xf numFmtId="171" fontId="22" fillId="0" borderId="0" xfId="0" applyNumberFormat="1" applyFont="1" applyBorder="1">
      <alignment vertical="top"/>
    </xf>
    <xf numFmtId="171" fontId="18" fillId="0" borderId="0" xfId="0" applyNumberFormat="1" applyFont="1" applyFill="1" applyBorder="1">
      <alignment vertical="top"/>
    </xf>
    <xf numFmtId="165" fontId="28" fillId="0" borderId="0" xfId="0" applyFont="1" applyBorder="1">
      <alignment vertical="top"/>
    </xf>
    <xf numFmtId="179" fontId="22" fillId="0" borderId="0" xfId="61" applyFont="1" applyBorder="1">
      <alignment vertical="top"/>
    </xf>
    <xf numFmtId="165" fontId="18" fillId="49" borderId="0" xfId="0" applyFont="1" applyFill="1">
      <alignment vertical="top"/>
    </xf>
    <xf numFmtId="165" fontId="23" fillId="0" borderId="0" xfId="0" applyFont="1" applyBorder="1">
      <alignment vertical="top"/>
    </xf>
    <xf numFmtId="179" fontId="18" fillId="0" borderId="0" xfId="61" applyFont="1" applyFill="1">
      <alignment vertical="top"/>
    </xf>
    <xf numFmtId="178" fontId="24" fillId="0" borderId="0" xfId="60" applyFont="1" applyFill="1">
      <alignment vertical="top"/>
    </xf>
    <xf numFmtId="165" fontId="18" fillId="49" borderId="0" xfId="0" applyFont="1" applyFill="1" applyAlignment="1">
      <alignment horizontal="right" vertical="top"/>
    </xf>
    <xf numFmtId="165" fontId="14" fillId="0" borderId="0" xfId="0" applyFont="1">
      <alignment vertical="top"/>
    </xf>
    <xf numFmtId="165" fontId="14" fillId="48" borderId="0" xfId="0" applyFont="1" applyFill="1">
      <alignment vertical="top"/>
    </xf>
    <xf numFmtId="165" fontId="14" fillId="0" borderId="0" xfId="0" applyFont="1" applyFill="1">
      <alignment vertical="top"/>
    </xf>
    <xf numFmtId="165" fontId="25" fillId="0" borderId="0" xfId="0" applyFont="1">
      <alignment vertical="top"/>
    </xf>
    <xf numFmtId="178" fontId="24" fillId="0" borderId="0" xfId="60" applyFont="1">
      <alignment vertical="top"/>
    </xf>
    <xf numFmtId="165" fontId="24" fillId="0" borderId="0" xfId="0" applyFont="1" applyBorder="1">
      <alignment vertical="top"/>
    </xf>
    <xf numFmtId="172" fontId="18" fillId="0" borderId="0" xfId="0" applyNumberFormat="1" applyFont="1" applyFill="1">
      <alignment vertical="top"/>
    </xf>
    <xf numFmtId="179" fontId="14" fillId="0" borderId="0" xfId="61" applyFont="1" applyFill="1">
      <alignment vertical="top"/>
    </xf>
    <xf numFmtId="179" fontId="14" fillId="48" borderId="0" xfId="61" applyFont="1" applyFill="1">
      <alignment vertical="top"/>
    </xf>
    <xf numFmtId="173" fontId="18" fillId="0" borderId="0" xfId="0" applyNumberFormat="1" applyFont="1" applyFill="1">
      <alignment vertical="top"/>
    </xf>
    <xf numFmtId="174" fontId="18" fillId="0" borderId="0" xfId="62" applyNumberFormat="1" applyFont="1">
      <alignment vertical="top"/>
    </xf>
    <xf numFmtId="174" fontId="18" fillId="44" borderId="0" xfId="62" applyNumberFormat="1" applyFont="1" applyFill="1">
      <alignment vertical="top"/>
    </xf>
    <xf numFmtId="165" fontId="18" fillId="0" borderId="0" xfId="0" applyFont="1" applyFill="1" applyBorder="1">
      <alignment vertical="top"/>
    </xf>
    <xf numFmtId="165" fontId="18" fillId="0" borderId="0" xfId="0" applyFont="1" applyFill="1">
      <alignment vertical="top"/>
    </xf>
    <xf numFmtId="164" fontId="18" fillId="0" borderId="0" xfId="1" applyFont="1" applyBorder="1" applyAlignment="1">
      <alignment vertical="top"/>
    </xf>
    <xf numFmtId="179" fontId="18" fillId="0" borderId="0" xfId="61" applyFont="1" applyFill="1" applyBorder="1">
      <alignment vertical="top"/>
    </xf>
    <xf numFmtId="0" fontId="22" fillId="0" borderId="0" xfId="66" applyNumberFormat="1" applyBorder="1">
      <alignment vertical="top"/>
    </xf>
    <xf numFmtId="0" fontId="22" fillId="0" borderId="0" xfId="66" applyNumberFormat="1" applyFill="1">
      <alignment vertical="top"/>
    </xf>
    <xf numFmtId="0" fontId="22" fillId="0" borderId="0" xfId="66" applyNumberFormat="1">
      <alignment vertical="top"/>
    </xf>
    <xf numFmtId="169" fontId="18" fillId="0" borderId="0" xfId="68" applyNumberFormat="1" applyBorder="1">
      <alignment horizontal="right" vertical="top"/>
    </xf>
    <xf numFmtId="0" fontId="18" fillId="0" borderId="0" xfId="68" applyBorder="1">
      <alignment horizontal="right" vertical="top"/>
    </xf>
    <xf numFmtId="171" fontId="18" fillId="0" borderId="0" xfId="68" applyNumberFormat="1" applyBorder="1">
      <alignment horizontal="right" vertical="top"/>
    </xf>
    <xf numFmtId="0" fontId="18" fillId="0" borderId="0" xfId="68">
      <alignment horizontal="right" vertical="top"/>
    </xf>
    <xf numFmtId="0" fontId="18" fillId="0" borderId="0" xfId="68" applyFill="1">
      <alignment horizontal="right" vertical="top"/>
    </xf>
    <xf numFmtId="169" fontId="23" fillId="0" borderId="0" xfId="67" applyNumberFormat="1" applyBorder="1">
      <alignment vertical="top"/>
    </xf>
    <xf numFmtId="0" fontId="23" fillId="0" borderId="0" xfId="67" applyBorder="1">
      <alignment vertical="top"/>
    </xf>
    <xf numFmtId="171" fontId="23" fillId="0" borderId="0" xfId="67" applyNumberFormat="1" applyBorder="1">
      <alignment vertical="top"/>
    </xf>
    <xf numFmtId="0" fontId="23" fillId="0" borderId="0" xfId="67" applyFill="1">
      <alignment vertical="top"/>
    </xf>
    <xf numFmtId="169" fontId="22" fillId="0" borderId="0" xfId="66" applyBorder="1">
      <alignment vertical="top"/>
    </xf>
    <xf numFmtId="171" fontId="22" fillId="0" borderId="0" xfId="66" applyNumberFormat="1" applyBorder="1">
      <alignment vertical="top"/>
    </xf>
    <xf numFmtId="0" fontId="23" fillId="0" borderId="0" xfId="67">
      <alignment vertical="top"/>
    </xf>
    <xf numFmtId="165" fontId="1" fillId="0" borderId="0" xfId="0" applyFont="1" applyBorder="1">
      <alignment vertical="top"/>
    </xf>
    <xf numFmtId="174" fontId="22" fillId="0" borderId="0" xfId="66" applyNumberFormat="1" applyFill="1">
      <alignment vertical="top"/>
    </xf>
    <xf numFmtId="174" fontId="23" fillId="0" borderId="0" xfId="67" applyNumberFormat="1">
      <alignment vertical="top"/>
    </xf>
    <xf numFmtId="174" fontId="18" fillId="0" borderId="0" xfId="68" applyNumberFormat="1">
      <alignment horizontal="right" vertical="top"/>
    </xf>
    <xf numFmtId="173" fontId="22" fillId="0" borderId="0" xfId="66" applyNumberFormat="1" applyFill="1">
      <alignment vertical="top"/>
    </xf>
    <xf numFmtId="173" fontId="23" fillId="0" borderId="0" xfId="67" applyNumberFormat="1" applyFill="1">
      <alignment vertical="top"/>
    </xf>
    <xf numFmtId="173" fontId="18" fillId="0" borderId="0" xfId="68" applyNumberFormat="1" applyFill="1">
      <alignment horizontal="right" vertical="top"/>
    </xf>
    <xf numFmtId="168" fontId="22" fillId="0" borderId="0" xfId="66" applyNumberFormat="1" applyFill="1">
      <alignment vertical="top"/>
    </xf>
    <xf numFmtId="168" fontId="23" fillId="0" borderId="0" xfId="67" applyNumberFormat="1">
      <alignment vertical="top"/>
    </xf>
    <xf numFmtId="168" fontId="18" fillId="0" borderId="0" xfId="68" applyNumberFormat="1">
      <alignment horizontal="right" vertical="top"/>
    </xf>
    <xf numFmtId="169" fontId="22" fillId="0" borderId="0" xfId="66" applyFill="1">
      <alignment vertical="top"/>
    </xf>
    <xf numFmtId="169" fontId="23" fillId="0" borderId="0" xfId="67" applyNumberFormat="1">
      <alignment vertical="top"/>
    </xf>
    <xf numFmtId="169" fontId="18" fillId="0" borderId="0" xfId="68" applyNumberFormat="1">
      <alignment horizontal="right" vertical="top"/>
    </xf>
    <xf numFmtId="169" fontId="23" fillId="0" borderId="0" xfId="67" applyNumberFormat="1" applyFill="1">
      <alignment vertical="top"/>
    </xf>
    <xf numFmtId="169" fontId="18" fillId="0" borderId="0" xfId="68" applyNumberFormat="1" applyFill="1">
      <alignment horizontal="right" vertical="top"/>
    </xf>
    <xf numFmtId="172" fontId="22" fillId="0" borderId="0" xfId="66" applyNumberFormat="1" applyFill="1">
      <alignment vertical="top"/>
    </xf>
    <xf numFmtId="172" fontId="23" fillId="0" borderId="0" xfId="67" applyNumberFormat="1" applyFill="1">
      <alignment vertical="top"/>
    </xf>
    <xf numFmtId="172" fontId="18" fillId="0" borderId="0" xfId="68" applyNumberFormat="1" applyFill="1">
      <alignment horizontal="right" vertical="top"/>
    </xf>
    <xf numFmtId="0" fontId="22" fillId="0" borderId="0" xfId="66" applyNumberFormat="1" applyFill="1" applyBorder="1">
      <alignment vertical="top"/>
    </xf>
    <xf numFmtId="168" fontId="23" fillId="0" borderId="0" xfId="67" applyNumberFormat="1" applyFill="1">
      <alignment vertical="top"/>
    </xf>
    <xf numFmtId="168" fontId="18" fillId="0" borderId="0" xfId="68" applyNumberFormat="1" applyFill="1">
      <alignment horizontal="right" vertical="top"/>
    </xf>
    <xf numFmtId="179" fontId="1" fillId="0" borderId="0" xfId="61" applyFont="1">
      <alignment vertical="top"/>
    </xf>
    <xf numFmtId="168" fontId="22" fillId="0" borderId="0" xfId="66" applyNumberFormat="1">
      <alignment vertical="top"/>
    </xf>
    <xf numFmtId="179" fontId="1" fillId="0" borderId="0" xfId="61" applyFont="1" applyFill="1">
      <alignment vertical="top"/>
    </xf>
    <xf numFmtId="179" fontId="1" fillId="48" borderId="0" xfId="61" applyFont="1" applyFill="1">
      <alignment vertical="top"/>
    </xf>
    <xf numFmtId="169" fontId="22" fillId="0" borderId="0" xfId="66">
      <alignment vertical="top"/>
    </xf>
    <xf numFmtId="164" fontId="1" fillId="0" borderId="0" xfId="1" applyFont="1"/>
    <xf numFmtId="164" fontId="18" fillId="0" borderId="0" xfId="1" applyFont="1" applyAlignment="1">
      <alignment vertical="top"/>
    </xf>
    <xf numFmtId="164" fontId="18" fillId="0" borderId="0" xfId="1" applyFont="1" applyFill="1" applyAlignment="1">
      <alignment vertical="top"/>
    </xf>
    <xf numFmtId="164" fontId="1" fillId="0" borderId="0" xfId="1" applyFont="1" applyBorder="1" applyAlignment="1">
      <alignment vertical="top"/>
    </xf>
    <xf numFmtId="164" fontId="24" fillId="0" borderId="0" xfId="1" applyFont="1" applyAlignment="1">
      <alignment vertical="top"/>
    </xf>
    <xf numFmtId="164" fontId="14" fillId="0" borderId="0" xfId="1" applyFont="1" applyFill="1" applyAlignment="1">
      <alignment vertical="top"/>
    </xf>
    <xf numFmtId="164" fontId="24" fillId="0" borderId="0" xfId="1" applyFont="1" applyFill="1" applyAlignment="1">
      <alignment vertical="top"/>
    </xf>
    <xf numFmtId="164" fontId="1" fillId="0" borderId="0" xfId="1" applyFont="1" applyAlignment="1">
      <alignment vertical="top"/>
    </xf>
    <xf numFmtId="164" fontId="25" fillId="0" borderId="0" xfId="1" applyFont="1" applyAlignment="1">
      <alignment vertical="top"/>
    </xf>
    <xf numFmtId="164" fontId="1" fillId="0" borderId="0" xfId="1" applyFont="1" applyFill="1" applyAlignment="1">
      <alignment vertical="top"/>
    </xf>
    <xf numFmtId="167" fontId="18" fillId="0" borderId="0" xfId="0" applyNumberFormat="1" applyFont="1" applyFill="1">
      <alignment vertical="top"/>
    </xf>
    <xf numFmtId="167" fontId="18" fillId="0" borderId="0" xfId="0" applyNumberFormat="1" applyFont="1" applyFill="1" applyBorder="1" applyAlignment="1">
      <alignment horizontal="left" vertical="top"/>
    </xf>
    <xf numFmtId="164" fontId="24" fillId="0" borderId="0" xfId="0" applyNumberFormat="1" applyFont="1" applyFill="1">
      <alignment vertical="top"/>
    </xf>
    <xf numFmtId="169" fontId="30" fillId="0" borderId="0" xfId="67" applyNumberFormat="1" applyFont="1" applyBorder="1">
      <alignment vertical="top"/>
    </xf>
    <xf numFmtId="0" fontId="30" fillId="0" borderId="0" xfId="67" applyFont="1" applyBorder="1">
      <alignment vertical="top"/>
    </xf>
    <xf numFmtId="171" fontId="30" fillId="0" borderId="0" xfId="67" applyNumberFormat="1" applyFont="1" applyBorder="1">
      <alignment vertical="top"/>
    </xf>
    <xf numFmtId="0" fontId="30" fillId="0" borderId="0" xfId="67" applyFont="1" applyFill="1">
      <alignment vertical="top"/>
    </xf>
    <xf numFmtId="173" fontId="30" fillId="0" borderId="0" xfId="67" applyNumberFormat="1" applyFont="1" applyFill="1">
      <alignment vertical="top"/>
    </xf>
    <xf numFmtId="169" fontId="31" fillId="0" borderId="0" xfId="67" applyNumberFormat="1" applyFont="1" applyBorder="1">
      <alignment vertical="top"/>
    </xf>
    <xf numFmtId="0" fontId="31" fillId="0" borderId="0" xfId="67" applyFont="1" applyBorder="1">
      <alignment vertical="top"/>
    </xf>
    <xf numFmtId="171" fontId="31" fillId="0" borderId="0" xfId="67" applyNumberFormat="1" applyFont="1" applyBorder="1">
      <alignment vertical="top"/>
    </xf>
    <xf numFmtId="0" fontId="31" fillId="0" borderId="0" xfId="67" applyFont="1" applyFill="1">
      <alignment vertical="top"/>
    </xf>
    <xf numFmtId="165" fontId="31" fillId="0" borderId="0" xfId="0" applyFont="1" applyFill="1">
      <alignment vertical="top"/>
    </xf>
    <xf numFmtId="165" fontId="32" fillId="33" borderId="0" xfId="0" applyFont="1" applyFill="1">
      <alignment vertical="top"/>
    </xf>
    <xf numFmtId="0" fontId="33" fillId="33" borderId="0" xfId="67" applyFont="1" applyFill="1">
      <alignment vertical="top"/>
    </xf>
    <xf numFmtId="0" fontId="34" fillId="33" borderId="0" xfId="67" applyFont="1" applyFill="1">
      <alignment vertical="top"/>
    </xf>
    <xf numFmtId="0" fontId="35" fillId="33" borderId="0" xfId="68" applyFont="1" applyFill="1">
      <alignment horizontal="right" vertical="top"/>
    </xf>
    <xf numFmtId="165" fontId="36" fillId="33" borderId="0" xfId="0" applyFont="1" applyFill="1">
      <alignment vertical="top"/>
    </xf>
    <xf numFmtId="165" fontId="36" fillId="0" borderId="0" xfId="0" applyFont="1" applyFill="1">
      <alignment vertical="top"/>
    </xf>
    <xf numFmtId="0" fontId="30" fillId="0" borderId="0" xfId="67" applyFont="1">
      <alignment vertical="top"/>
    </xf>
    <xf numFmtId="174" fontId="30" fillId="0" borderId="0" xfId="67" applyNumberFormat="1" applyFont="1">
      <alignment vertical="top"/>
    </xf>
    <xf numFmtId="168" fontId="30" fillId="0" borderId="0" xfId="67" applyNumberFormat="1" applyFont="1">
      <alignment vertical="top"/>
    </xf>
    <xf numFmtId="169" fontId="30" fillId="0" borderId="0" xfId="67" applyNumberFormat="1" applyFont="1">
      <alignment vertical="top"/>
    </xf>
    <xf numFmtId="169" fontId="30" fillId="0" borderId="0" xfId="67" applyNumberFormat="1" applyFont="1" applyFill="1">
      <alignment vertical="top"/>
    </xf>
    <xf numFmtId="172" fontId="30" fillId="0" borderId="0" xfId="67" applyNumberFormat="1" applyFont="1" applyFill="1">
      <alignment vertical="top"/>
    </xf>
    <xf numFmtId="168" fontId="30" fillId="0" borderId="0" xfId="67" applyNumberFormat="1" applyFont="1" applyFill="1">
      <alignment vertical="top"/>
    </xf>
    <xf numFmtId="165" fontId="36" fillId="0" borderId="0" xfId="0" applyFont="1">
      <alignment vertical="top"/>
    </xf>
    <xf numFmtId="164" fontId="36" fillId="33" borderId="0" xfId="1" applyFont="1" applyFill="1"/>
    <xf numFmtId="165" fontId="34" fillId="33" borderId="0" xfId="0" applyFont="1" applyFill="1">
      <alignment vertical="top"/>
    </xf>
    <xf numFmtId="165" fontId="22" fillId="0" borderId="0" xfId="66" applyNumberFormat="1" applyFill="1">
      <alignment vertical="top"/>
    </xf>
    <xf numFmtId="165" fontId="22" fillId="52" borderId="0" xfId="0" applyFont="1" applyFill="1" applyBorder="1">
      <alignment vertical="top"/>
    </xf>
    <xf numFmtId="165" fontId="18" fillId="52" borderId="0" xfId="0" applyFont="1" applyFill="1" applyBorder="1">
      <alignment vertical="top"/>
    </xf>
    <xf numFmtId="165" fontId="22" fillId="52" borderId="0" xfId="0" applyFont="1" applyFill="1" applyBorder="1" applyAlignment="1">
      <alignment horizontal="left" vertical="top"/>
    </xf>
    <xf numFmtId="165" fontId="18" fillId="53" borderId="0" xfId="0" applyFont="1" applyFill="1" applyBorder="1" applyAlignment="1">
      <alignment horizontal="left" vertical="top"/>
    </xf>
    <xf numFmtId="165" fontId="18" fillId="0" borderId="0" xfId="0" applyFont="1" applyAlignment="1">
      <alignment horizontal="left" vertical="top"/>
    </xf>
    <xf numFmtId="165" fontId="18" fillId="54" borderId="0" xfId="0" applyFont="1" applyFill="1" applyBorder="1" applyAlignment="1">
      <alignment horizontal="left" vertical="top"/>
    </xf>
    <xf numFmtId="165" fontId="18" fillId="55" borderId="0" xfId="0" applyFont="1" applyFill="1" applyBorder="1" applyAlignment="1">
      <alignment horizontal="left" vertical="top"/>
    </xf>
    <xf numFmtId="165" fontId="18" fillId="45" borderId="0" xfId="0" applyFont="1" applyFill="1" applyBorder="1" applyAlignment="1">
      <alignment horizontal="left" vertical="top"/>
    </xf>
    <xf numFmtId="165" fontId="18" fillId="43" borderId="0" xfId="0" applyFont="1" applyFill="1" applyBorder="1" applyAlignment="1">
      <alignment horizontal="left" vertical="top"/>
    </xf>
    <xf numFmtId="165" fontId="18" fillId="53" borderId="0" xfId="0" applyFont="1" applyFill="1" applyBorder="1">
      <alignment vertical="top"/>
    </xf>
    <xf numFmtId="165" fontId="18" fillId="54" borderId="0" xfId="0" applyFont="1" applyFill="1" applyBorder="1">
      <alignment vertical="top"/>
    </xf>
    <xf numFmtId="165" fontId="24" fillId="54" borderId="0" xfId="0" applyFont="1" applyFill="1" applyBorder="1">
      <alignment vertical="top"/>
    </xf>
    <xf numFmtId="165" fontId="18" fillId="55" borderId="0" xfId="0" applyFont="1" applyFill="1" applyBorder="1">
      <alignment vertical="top"/>
    </xf>
    <xf numFmtId="165" fontId="18" fillId="56" borderId="0" xfId="0" applyFont="1" applyFill="1" applyBorder="1">
      <alignment vertical="top"/>
    </xf>
    <xf numFmtId="165" fontId="22" fillId="0" borderId="0" xfId="0" applyFont="1" applyFill="1">
      <alignment vertical="top"/>
    </xf>
    <xf numFmtId="165" fontId="18" fillId="57" borderId="0" xfId="0" applyFont="1" applyFill="1" applyBorder="1">
      <alignment vertical="top"/>
    </xf>
    <xf numFmtId="165" fontId="18" fillId="58" borderId="0" xfId="0" applyFont="1" applyFill="1" applyBorder="1">
      <alignment vertical="top"/>
    </xf>
    <xf numFmtId="165" fontId="18" fillId="59" borderId="0" xfId="0" applyFont="1" applyFill="1" applyBorder="1">
      <alignment vertical="top"/>
    </xf>
    <xf numFmtId="165" fontId="18" fillId="47" borderId="0" xfId="0" applyFont="1" applyFill="1" applyBorder="1">
      <alignment vertical="top"/>
    </xf>
    <xf numFmtId="175" fontId="29" fillId="0" borderId="0" xfId="0" applyNumberFormat="1" applyFont="1">
      <alignment vertical="top"/>
    </xf>
    <xf numFmtId="176" fontId="29" fillId="0" borderId="0" xfId="0" applyNumberFormat="1" applyFont="1">
      <alignment vertical="top"/>
    </xf>
    <xf numFmtId="175" fontId="18" fillId="0" borderId="0" xfId="0" applyNumberFormat="1" applyFont="1">
      <alignment vertical="top"/>
    </xf>
    <xf numFmtId="0" fontId="29" fillId="0" borderId="0" xfId="0" applyNumberFormat="1" applyFont="1" applyFill="1">
      <alignment vertical="top"/>
    </xf>
    <xf numFmtId="175" fontId="29" fillId="0" borderId="0" xfId="0" applyNumberFormat="1" applyFont="1" applyFill="1">
      <alignment vertical="top"/>
    </xf>
    <xf numFmtId="165" fontId="37" fillId="0" borderId="0" xfId="0" applyFont="1" applyFill="1">
      <alignment vertical="top"/>
    </xf>
    <xf numFmtId="0" fontId="29" fillId="0" borderId="0" xfId="0" applyNumberFormat="1" applyFont="1">
      <alignment vertical="top"/>
    </xf>
    <xf numFmtId="177" fontId="18" fillId="0" borderId="0" xfId="0" applyNumberFormat="1" applyFont="1" applyFill="1">
      <alignment vertical="top"/>
    </xf>
    <xf numFmtId="10" fontId="18" fillId="0" borderId="0" xfId="0" applyNumberFormat="1" applyFont="1" applyFill="1">
      <alignment vertical="top"/>
    </xf>
    <xf numFmtId="10" fontId="18" fillId="50" borderId="0" xfId="0" applyNumberFormat="1" applyFont="1" applyFill="1">
      <alignment vertical="top"/>
    </xf>
    <xf numFmtId="175" fontId="18" fillId="0" borderId="0" xfId="0" applyNumberFormat="1" applyFont="1" applyFill="1">
      <alignment vertical="top"/>
    </xf>
    <xf numFmtId="177" fontId="18" fillId="0" borderId="0" xfId="0" applyNumberFormat="1" applyFont="1">
      <alignment vertical="top"/>
    </xf>
    <xf numFmtId="164" fontId="29" fillId="0" borderId="0" xfId="0" applyNumberFormat="1" applyFont="1">
      <alignment vertical="top"/>
    </xf>
    <xf numFmtId="170" fontId="29" fillId="0" borderId="0" xfId="0" applyNumberFormat="1" applyFont="1">
      <alignment vertical="top"/>
    </xf>
    <xf numFmtId="167" fontId="29" fillId="0" borderId="0" xfId="0" applyNumberFormat="1" applyFont="1">
      <alignment vertical="top"/>
    </xf>
    <xf numFmtId="170" fontId="29" fillId="0" borderId="0" xfId="0" applyNumberFormat="1" applyFont="1" applyFill="1">
      <alignment vertical="top"/>
    </xf>
    <xf numFmtId="10" fontId="26" fillId="0" borderId="0" xfId="0" applyNumberFormat="1" applyFont="1">
      <alignment vertical="top"/>
    </xf>
    <xf numFmtId="10" fontId="0" fillId="0" borderId="0" xfId="0" applyNumberFormat="1" applyFont="1">
      <alignment vertical="top"/>
    </xf>
    <xf numFmtId="0" fontId="38" fillId="0" borderId="0" xfId="66" applyNumberFormat="1" applyFont="1" applyFill="1">
      <alignment vertical="top"/>
    </xf>
    <xf numFmtId="0" fontId="39" fillId="0" borderId="0" xfId="67" applyFont="1" applyFill="1">
      <alignment vertical="top"/>
    </xf>
    <xf numFmtId="0" fontId="40" fillId="0" borderId="0" xfId="67" applyFont="1" applyFill="1">
      <alignment vertical="top"/>
    </xf>
    <xf numFmtId="0" fontId="29" fillId="0" borderId="0" xfId="68" applyFont="1" applyFill="1">
      <alignment horizontal="right" vertical="top"/>
    </xf>
    <xf numFmtId="165" fontId="29" fillId="0" borderId="0" xfId="0" applyFont="1" applyFill="1">
      <alignment vertical="top"/>
    </xf>
    <xf numFmtId="10" fontId="29" fillId="0" borderId="0" xfId="0" applyNumberFormat="1" applyFont="1" applyFill="1">
      <alignment vertical="top"/>
    </xf>
    <xf numFmtId="10" fontId="22" fillId="0" borderId="0" xfId="0" applyNumberFormat="1" applyFont="1">
      <alignment vertical="top"/>
    </xf>
    <xf numFmtId="10" fontId="23" fillId="0" borderId="0" xfId="0" applyNumberFormat="1" applyFont="1" applyFill="1">
      <alignment vertical="top"/>
    </xf>
    <xf numFmtId="10" fontId="18" fillId="0" borderId="0" xfId="0" applyNumberFormat="1" applyFont="1" applyAlignment="1">
      <alignment horizontal="right" vertical="top"/>
    </xf>
    <xf numFmtId="165" fontId="23" fillId="0" borderId="0" xfId="67" applyNumberFormat="1" applyFill="1">
      <alignment vertical="top"/>
    </xf>
    <xf numFmtId="165" fontId="30" fillId="0" borderId="0" xfId="67" applyNumberFormat="1" applyFont="1" applyFill="1">
      <alignment vertical="top"/>
    </xf>
    <xf numFmtId="165" fontId="18" fillId="0" borderId="0" xfId="68" applyNumberFormat="1" applyFill="1">
      <alignment horizontal="right" vertical="top"/>
    </xf>
    <xf numFmtId="165" fontId="18" fillId="50" borderId="0" xfId="0" applyFont="1" applyFill="1">
      <alignment vertical="top"/>
    </xf>
    <xf numFmtId="179" fontId="18" fillId="50" borderId="0" xfId="61" applyFont="1" applyFill="1" applyBorder="1" applyAlignment="1">
      <alignment horizontal="right" vertical="top"/>
    </xf>
    <xf numFmtId="165" fontId="0" fillId="50" borderId="0" xfId="0" applyFill="1">
      <alignment vertical="top"/>
    </xf>
    <xf numFmtId="170" fontId="18" fillId="50" borderId="0" xfId="62" applyFont="1" applyFill="1">
      <alignment vertical="top"/>
    </xf>
    <xf numFmtId="167" fontId="42" fillId="0" borderId="0" xfId="70" applyNumberFormat="1" applyFont="1">
      <alignment vertical="top"/>
    </xf>
    <xf numFmtId="165" fontId="42" fillId="0" borderId="0" xfId="70" applyFont="1">
      <alignment vertical="top"/>
    </xf>
    <xf numFmtId="165" fontId="33" fillId="0" borderId="0" xfId="70" applyFont="1">
      <alignment vertical="top"/>
    </xf>
    <xf numFmtId="165" fontId="35" fillId="0" borderId="0" xfId="70" applyFont="1" applyAlignment="1">
      <alignment horizontal="right" vertical="top"/>
    </xf>
    <xf numFmtId="165" fontId="35" fillId="0" borderId="0" xfId="70" applyFont="1">
      <alignment vertical="top"/>
    </xf>
    <xf numFmtId="165" fontId="43" fillId="54" borderId="11" xfId="70" applyFont="1" applyFill="1" applyBorder="1" applyAlignment="1">
      <alignment horizontal="centerContinuous" vertical="center"/>
    </xf>
    <xf numFmtId="165" fontId="22" fillId="54" borderId="12" xfId="70" applyFont="1" applyFill="1" applyBorder="1" applyAlignment="1">
      <alignment horizontal="centerContinuous" vertical="top"/>
    </xf>
    <xf numFmtId="165" fontId="44" fillId="0" borderId="0" xfId="70" applyFont="1" applyAlignment="1">
      <alignment horizontal="left" vertical="center"/>
    </xf>
    <xf numFmtId="165" fontId="45" fillId="0" borderId="0" xfId="70" applyFont="1" applyAlignment="1">
      <alignment horizontal="left" vertical="top"/>
    </xf>
    <xf numFmtId="181" fontId="35" fillId="0" borderId="0" xfId="70" applyNumberFormat="1" applyFont="1">
      <alignment vertical="top"/>
    </xf>
    <xf numFmtId="182" fontId="35" fillId="0" borderId="0" xfId="70" applyNumberFormat="1" applyFont="1">
      <alignment vertical="top"/>
    </xf>
    <xf numFmtId="179" fontId="46" fillId="54" borderId="0" xfId="61" applyFont="1" applyFill="1">
      <alignment vertical="top"/>
    </xf>
    <xf numFmtId="181" fontId="18" fillId="0" borderId="0" xfId="70" applyNumberFormat="1" applyFont="1">
      <alignment vertical="top"/>
    </xf>
    <xf numFmtId="179" fontId="18" fillId="54" borderId="0" xfId="61" applyFill="1">
      <alignment vertical="top"/>
    </xf>
    <xf numFmtId="165" fontId="41" fillId="0" borderId="0" xfId="70">
      <alignment vertical="top"/>
    </xf>
    <xf numFmtId="167" fontId="18" fillId="0" borderId="0" xfId="70" applyNumberFormat="1" applyFont="1">
      <alignment vertical="top"/>
    </xf>
    <xf numFmtId="165" fontId="22" fillId="0" borderId="0" xfId="70" applyFont="1">
      <alignment vertical="top"/>
    </xf>
    <xf numFmtId="165" fontId="23" fillId="0" borderId="0" xfId="70" applyFont="1">
      <alignment vertical="top"/>
    </xf>
    <xf numFmtId="165" fontId="18" fillId="0" borderId="0" xfId="70" applyFont="1" applyAlignment="1">
      <alignment horizontal="right" vertical="top"/>
    </xf>
    <xf numFmtId="179" fontId="18" fillId="0" borderId="0" xfId="61">
      <alignment vertical="top"/>
    </xf>
    <xf numFmtId="181" fontId="46" fillId="0" borderId="0" xfId="70" applyNumberFormat="1" applyFont="1">
      <alignment vertical="top"/>
    </xf>
    <xf numFmtId="165" fontId="18" fillId="0" borderId="0" xfId="70" applyFont="1">
      <alignment vertical="top"/>
    </xf>
    <xf numFmtId="165" fontId="18" fillId="58" borderId="0" xfId="70" applyFont="1" applyFill="1" applyAlignment="1">
      <alignment horizontal="right" vertical="top"/>
    </xf>
    <xf numFmtId="182" fontId="18" fillId="0" borderId="0" xfId="70" applyNumberFormat="1" applyFont="1">
      <alignment vertical="top"/>
    </xf>
    <xf numFmtId="179" fontId="18" fillId="0" borderId="0" xfId="61" applyAlignment="1">
      <alignment horizontal="center" vertical="center"/>
    </xf>
    <xf numFmtId="181" fontId="28" fillId="0" borderId="0" xfId="70" applyNumberFormat="1" applyFont="1">
      <alignment vertical="top"/>
    </xf>
    <xf numFmtId="182" fontId="23" fillId="0" borderId="0" xfId="70" applyNumberFormat="1" applyFont="1">
      <alignment vertical="top"/>
    </xf>
    <xf numFmtId="183" fontId="47" fillId="54" borderId="0" xfId="70" applyNumberFormat="1" applyFont="1" applyFill="1">
      <alignment vertical="top"/>
    </xf>
    <xf numFmtId="183" fontId="22" fillId="54" borderId="0" xfId="70" applyNumberFormat="1" applyFont="1" applyFill="1">
      <alignment vertical="top"/>
    </xf>
    <xf numFmtId="165" fontId="46" fillId="54" borderId="0" xfId="70" applyFont="1" applyFill="1">
      <alignment vertical="top"/>
    </xf>
    <xf numFmtId="165" fontId="18" fillId="54" borderId="0" xfId="70" applyFont="1" applyFill="1">
      <alignment vertical="top"/>
    </xf>
    <xf numFmtId="165" fontId="22" fillId="0" borderId="0" xfId="70" applyFont="1" applyAlignment="1">
      <alignment horizontal="left" vertical="top"/>
    </xf>
    <xf numFmtId="181" fontId="23" fillId="0" borderId="0" xfId="70" applyNumberFormat="1" applyFont="1">
      <alignment vertical="top"/>
    </xf>
    <xf numFmtId="181" fontId="18" fillId="53" borderId="0" xfId="70" applyNumberFormat="1" applyFont="1" applyFill="1">
      <alignment vertical="top"/>
    </xf>
    <xf numFmtId="165" fontId="22" fillId="54" borderId="0" xfId="70" applyFont="1" applyFill="1">
      <alignment vertical="top"/>
    </xf>
    <xf numFmtId="165" fontId="23" fillId="54" borderId="0" xfId="70" applyFont="1" applyFill="1">
      <alignment vertical="top"/>
    </xf>
    <xf numFmtId="165" fontId="18" fillId="54" borderId="0" xfId="70" applyFont="1" applyFill="1" applyAlignment="1">
      <alignment horizontal="right" vertical="top"/>
    </xf>
    <xf numFmtId="181" fontId="18" fillId="54" borderId="0" xfId="70" applyNumberFormat="1" applyFont="1" applyFill="1">
      <alignment vertical="top"/>
    </xf>
    <xf numFmtId="182" fontId="18" fillId="54" borderId="0" xfId="70" applyNumberFormat="1" applyFont="1" applyFill="1">
      <alignment vertical="top"/>
    </xf>
    <xf numFmtId="165" fontId="48" fillId="55" borderId="0" xfId="70" applyFont="1" applyFill="1">
      <alignment vertical="top"/>
    </xf>
    <xf numFmtId="165" fontId="49" fillId="55" borderId="0" xfId="70" applyFont="1" applyFill="1">
      <alignment vertical="top"/>
    </xf>
    <xf numFmtId="165" fontId="50" fillId="55" borderId="0" xfId="70" applyFont="1" applyFill="1" applyAlignment="1">
      <alignment horizontal="right" vertical="top"/>
    </xf>
    <xf numFmtId="165" fontId="50" fillId="55" borderId="0" xfId="70" applyFont="1" applyFill="1">
      <alignment vertical="top"/>
    </xf>
    <xf numFmtId="181" fontId="50" fillId="55" borderId="0" xfId="70" applyNumberFormat="1" applyFont="1" applyFill="1">
      <alignment vertical="top"/>
    </xf>
    <xf numFmtId="181" fontId="51" fillId="55" borderId="0" xfId="70" applyNumberFormat="1" applyFont="1" applyFill="1">
      <alignment vertical="top"/>
    </xf>
    <xf numFmtId="176" fontId="51" fillId="55" borderId="0" xfId="71" applyFont="1" applyFill="1">
      <alignment vertical="top"/>
    </xf>
    <xf numFmtId="165" fontId="52" fillId="54" borderId="0" xfId="70" applyFont="1" applyFill="1">
      <alignment vertical="top"/>
    </xf>
    <xf numFmtId="165" fontId="51" fillId="54" borderId="0" xfId="70" applyFont="1" applyFill="1">
      <alignment vertical="top"/>
    </xf>
    <xf numFmtId="165" fontId="50" fillId="0" borderId="0" xfId="70" applyFont="1">
      <alignment vertical="top"/>
    </xf>
    <xf numFmtId="167" fontId="22" fillId="0" borderId="0" xfId="70" applyNumberFormat="1" applyFont="1">
      <alignment vertical="top"/>
    </xf>
    <xf numFmtId="167" fontId="18" fillId="0" borderId="0" xfId="70" applyNumberFormat="1" applyFont="1" applyAlignment="1">
      <alignment horizontal="right" vertical="top"/>
    </xf>
    <xf numFmtId="165" fontId="24" fillId="0" borderId="0" xfId="70" applyFont="1">
      <alignment vertical="top"/>
    </xf>
    <xf numFmtId="181" fontId="24" fillId="0" borderId="0" xfId="70" applyNumberFormat="1" applyFont="1">
      <alignment vertical="top"/>
    </xf>
    <xf numFmtId="165" fontId="18" fillId="58" borderId="0" xfId="70" applyFont="1" applyFill="1">
      <alignment vertical="top"/>
    </xf>
    <xf numFmtId="176" fontId="18" fillId="0" borderId="0" xfId="71">
      <alignment vertical="top"/>
    </xf>
    <xf numFmtId="181" fontId="18" fillId="45" borderId="0" xfId="70" applyNumberFormat="1" applyFont="1" applyFill="1">
      <alignment vertical="top"/>
    </xf>
    <xf numFmtId="165" fontId="24" fillId="54" borderId="0" xfId="70" applyFont="1" applyFill="1">
      <alignment vertical="top"/>
    </xf>
    <xf numFmtId="175" fontId="29" fillId="0" borderId="0" xfId="70" applyNumberFormat="1" applyFont="1">
      <alignment vertical="top"/>
    </xf>
    <xf numFmtId="167" fontId="23" fillId="0" borderId="0" xfId="70" applyNumberFormat="1" applyFont="1">
      <alignment vertical="top"/>
    </xf>
    <xf numFmtId="167" fontId="24" fillId="0" borderId="0" xfId="70" applyNumberFormat="1" applyFont="1">
      <alignment vertical="top"/>
    </xf>
    <xf numFmtId="182" fontId="24" fillId="0" borderId="0" xfId="70" applyNumberFormat="1" applyFont="1">
      <alignment vertical="top"/>
    </xf>
    <xf numFmtId="179" fontId="22" fillId="0" borderId="0" xfId="61" applyFont="1">
      <alignment vertical="top"/>
    </xf>
    <xf numFmtId="179" fontId="23" fillId="0" borderId="0" xfId="61" applyFont="1">
      <alignment vertical="top"/>
    </xf>
    <xf numFmtId="179" fontId="18" fillId="0" borderId="0" xfId="61" applyAlignment="1">
      <alignment horizontal="right" vertical="top"/>
    </xf>
    <xf numFmtId="178" fontId="18" fillId="0" borderId="0" xfId="60">
      <alignment vertical="top"/>
    </xf>
    <xf numFmtId="184" fontId="18" fillId="0" borderId="0" xfId="61" applyNumberFormat="1">
      <alignment vertical="top"/>
    </xf>
    <xf numFmtId="184" fontId="22" fillId="0" borderId="0" xfId="61" applyNumberFormat="1" applyFont="1">
      <alignment vertical="top"/>
    </xf>
    <xf numFmtId="184" fontId="23" fillId="0" borderId="0" xfId="61" applyNumberFormat="1" applyFont="1">
      <alignment vertical="top"/>
    </xf>
    <xf numFmtId="185" fontId="18" fillId="0" borderId="0" xfId="70" applyNumberFormat="1" applyFont="1">
      <alignment vertical="top"/>
    </xf>
    <xf numFmtId="184" fontId="46" fillId="54" borderId="0" xfId="61" applyNumberFormat="1" applyFont="1" applyFill="1">
      <alignment vertical="top"/>
    </xf>
    <xf numFmtId="184" fontId="18" fillId="54" borderId="0" xfId="61" applyNumberFormat="1" applyFill="1">
      <alignment vertical="top"/>
    </xf>
    <xf numFmtId="167" fontId="22" fillId="54" borderId="0" xfId="70" applyNumberFormat="1" applyFont="1" applyFill="1">
      <alignment vertical="top"/>
    </xf>
    <xf numFmtId="167" fontId="23" fillId="54" borderId="0" xfId="70" applyNumberFormat="1" applyFont="1" applyFill="1">
      <alignment vertical="top"/>
    </xf>
    <xf numFmtId="167" fontId="18" fillId="54" borderId="0" xfId="70" applyNumberFormat="1" applyFont="1" applyFill="1" applyAlignment="1">
      <alignment horizontal="right" vertical="top"/>
    </xf>
    <xf numFmtId="167" fontId="18" fillId="54" borderId="0" xfId="70" applyNumberFormat="1" applyFont="1" applyFill="1" applyAlignment="1">
      <alignment horizontal="right"/>
    </xf>
    <xf numFmtId="167" fontId="18" fillId="54" borderId="0" xfId="70" applyNumberFormat="1" applyFont="1" applyFill="1" applyAlignment="1">
      <alignment horizontal="left"/>
    </xf>
    <xf numFmtId="165" fontId="16" fillId="54" borderId="0" xfId="70" applyFont="1" applyFill="1">
      <alignment vertical="top"/>
    </xf>
    <xf numFmtId="165" fontId="16" fillId="54" borderId="0" xfId="70" applyFont="1" applyFill="1" applyAlignment="1">
      <alignment wrapText="1"/>
    </xf>
    <xf numFmtId="0" fontId="53" fillId="54" borderId="0" xfId="70" applyNumberFormat="1" applyFont="1" applyFill="1" applyAlignment="1">
      <alignment horizontal="left" vertical="center" wrapText="1"/>
    </xf>
    <xf numFmtId="165" fontId="16" fillId="54" borderId="0" xfId="70" applyFont="1" applyFill="1" applyAlignment="1">
      <alignment vertical="top" wrapText="1"/>
    </xf>
    <xf numFmtId="165" fontId="29" fillId="0" borderId="0" xfId="70" applyFont="1">
      <alignment vertical="top"/>
    </xf>
    <xf numFmtId="177" fontId="29" fillId="0" borderId="0" xfId="70" applyNumberFormat="1" applyFont="1">
      <alignment vertical="top"/>
    </xf>
    <xf numFmtId="165" fontId="0" fillId="0" borderId="0" xfId="0" applyFill="1" applyBorder="1">
      <alignment vertical="top"/>
    </xf>
    <xf numFmtId="165" fontId="29" fillId="0" borderId="0" xfId="0" applyFont="1" applyFill="1" applyBorder="1">
      <alignment vertical="top"/>
    </xf>
    <xf numFmtId="176" fontId="18" fillId="0" borderId="0" xfId="2" applyFont="1">
      <alignment vertical="top"/>
    </xf>
    <xf numFmtId="165" fontId="29" fillId="0" borderId="0" xfId="0" applyFont="1">
      <alignment vertical="top"/>
    </xf>
    <xf numFmtId="181" fontId="18" fillId="0" borderId="0" xfId="70" applyNumberFormat="1" applyFont="1" applyFill="1">
      <alignment vertical="top"/>
    </xf>
    <xf numFmtId="165" fontId="17" fillId="33" borderId="10" xfId="0" applyFont="1" applyFill="1" applyBorder="1" applyAlignment="1">
      <alignment horizontal="center" vertical="top" wrapText="1"/>
    </xf>
    <xf numFmtId="165" fontId="0" fillId="0" borderId="10" xfId="0" applyFill="1" applyBorder="1">
      <alignment vertical="top"/>
    </xf>
    <xf numFmtId="165" fontId="29" fillId="0" borderId="10" xfId="0" applyFont="1" applyFill="1" applyBorder="1">
      <alignment vertical="top"/>
    </xf>
    <xf numFmtId="176" fontId="29" fillId="0" borderId="10" xfId="2" applyFont="1" applyFill="1" applyBorder="1">
      <alignment vertical="top"/>
    </xf>
    <xf numFmtId="165" fontId="0" fillId="0" borderId="10" xfId="0" applyFill="1" applyBorder="1" applyAlignment="1">
      <alignment vertical="center"/>
    </xf>
    <xf numFmtId="165" fontId="0" fillId="0" borderId="10" xfId="0" applyFill="1" applyBorder="1" applyAlignment="1">
      <alignment vertical="center" wrapText="1"/>
    </xf>
    <xf numFmtId="175" fontId="29" fillId="0" borderId="10" xfId="0" applyNumberFormat="1" applyFont="1" applyFill="1" applyBorder="1" applyAlignment="1">
      <alignment vertical="center"/>
    </xf>
    <xf numFmtId="165" fontId="16" fillId="48" borderId="0" xfId="0" applyFont="1" applyFill="1" applyBorder="1">
      <alignment vertical="top"/>
    </xf>
    <xf numFmtId="165" fontId="0" fillId="48" borderId="0" xfId="0" applyFill="1" applyBorder="1">
      <alignment vertical="top"/>
    </xf>
    <xf numFmtId="165" fontId="38" fillId="44" borderId="10" xfId="0" applyFont="1" applyFill="1" applyBorder="1">
      <alignment vertical="top"/>
    </xf>
    <xf numFmtId="165" fontId="38" fillId="0" borderId="0" xfId="0" applyFont="1">
      <alignment vertical="top"/>
    </xf>
    <xf numFmtId="165" fontId="38" fillId="52" borderId="10" xfId="0" applyFont="1" applyFill="1" applyBorder="1">
      <alignment vertical="top"/>
    </xf>
    <xf numFmtId="165" fontId="38" fillId="51" borderId="10" xfId="0" applyFont="1" applyFill="1" applyBorder="1">
      <alignment vertical="top"/>
    </xf>
    <xf numFmtId="165" fontId="38" fillId="42" borderId="10" xfId="0" applyFont="1" applyFill="1" applyBorder="1">
      <alignment vertical="top"/>
    </xf>
    <xf numFmtId="165" fontId="18" fillId="50" borderId="0" xfId="70" applyFont="1" applyFill="1">
      <alignment vertical="top"/>
    </xf>
    <xf numFmtId="179" fontId="18" fillId="0" borderId="0" xfId="61" applyFill="1">
      <alignment vertical="top"/>
    </xf>
    <xf numFmtId="183" fontId="22" fillId="0" borderId="0" xfId="70" applyNumberFormat="1" applyFont="1" applyFill="1">
      <alignment vertical="top"/>
    </xf>
    <xf numFmtId="165" fontId="18" fillId="0" borderId="0" xfId="70" applyFont="1" applyFill="1">
      <alignment vertical="top"/>
    </xf>
    <xf numFmtId="165" fontId="24" fillId="51" borderId="0" xfId="70" applyFont="1" applyFill="1">
      <alignment vertical="top"/>
    </xf>
    <xf numFmtId="179" fontId="18" fillId="51" borderId="0" xfId="61" applyFill="1">
      <alignment vertical="top"/>
    </xf>
    <xf numFmtId="184" fontId="18" fillId="51" borderId="0" xfId="61" applyNumberFormat="1" applyFill="1">
      <alignment vertical="top"/>
    </xf>
    <xf numFmtId="165" fontId="18" fillId="51" borderId="0" xfId="70" applyFont="1" applyFill="1">
      <alignment vertical="top"/>
    </xf>
    <xf numFmtId="175" fontId="14" fillId="0" borderId="0" xfId="0" applyNumberFormat="1" applyFont="1" applyFill="1">
      <alignment vertical="top"/>
    </xf>
    <xf numFmtId="165" fontId="31" fillId="48" borderId="0" xfId="0" applyFont="1" applyFill="1">
      <alignment vertical="top"/>
    </xf>
    <xf numFmtId="165" fontId="29" fillId="49" borderId="10" xfId="0" applyFont="1" applyFill="1" applyBorder="1">
      <alignment vertical="top"/>
    </xf>
    <xf numFmtId="0" fontId="0" fillId="0" borderId="0" xfId="0" applyNumberFormat="1">
      <alignment vertical="top"/>
    </xf>
    <xf numFmtId="0" fontId="1" fillId="0" borderId="0" xfId="0" applyNumberFormat="1" applyFont="1">
      <alignment vertical="top"/>
    </xf>
    <xf numFmtId="0" fontId="0" fillId="50" borderId="0" xfId="0" applyNumberFormat="1" applyFill="1">
      <alignment vertical="top"/>
    </xf>
    <xf numFmtId="176" fontId="29" fillId="0" borderId="0" xfId="2" applyFont="1">
      <alignment vertical="top"/>
    </xf>
    <xf numFmtId="176" fontId="29" fillId="0" borderId="0" xfId="2" applyFont="1" applyFill="1" applyBorder="1">
      <alignment vertical="top"/>
    </xf>
    <xf numFmtId="165" fontId="29" fillId="0" borderId="10" xfId="2" applyNumberFormat="1" applyFont="1" applyFill="1" applyBorder="1">
      <alignment vertical="top"/>
    </xf>
    <xf numFmtId="0" fontId="54" fillId="60" borderId="0" xfId="72"/>
    <xf numFmtId="0" fontId="1" fillId="0" borderId="0" xfId="73"/>
    <xf numFmtId="0" fontId="55" fillId="60" borderId="13" xfId="73" applyFont="1" applyFill="1" applyBorder="1"/>
    <xf numFmtId="0" fontId="55" fillId="60" borderId="0" xfId="73" applyFont="1" applyFill="1"/>
    <xf numFmtId="0" fontId="55" fillId="61" borderId="0" xfId="73" applyFont="1" applyFill="1"/>
    <xf numFmtId="0" fontId="57" fillId="0" borderId="0" xfId="75" applyAlignment="1">
      <alignment vertical="center"/>
    </xf>
    <xf numFmtId="0" fontId="1" fillId="0" borderId="0" xfId="73" applyAlignment="1">
      <alignment vertical="center"/>
    </xf>
    <xf numFmtId="0" fontId="1" fillId="0" borderId="0" xfId="73" applyAlignment="1">
      <alignment vertical="center" wrapText="1"/>
    </xf>
    <xf numFmtId="0" fontId="1" fillId="0" borderId="14" xfId="73" applyBorder="1" applyAlignment="1">
      <alignment horizontal="center"/>
    </xf>
    <xf numFmtId="0" fontId="58" fillId="60" borderId="0" xfId="77"/>
    <xf numFmtId="175" fontId="29" fillId="0" borderId="0" xfId="73" applyNumberFormat="1" applyFont="1" applyAlignment="1">
      <alignment horizontal="left"/>
    </xf>
    <xf numFmtId="165" fontId="29" fillId="0" borderId="0" xfId="73" applyNumberFormat="1" applyFont="1" applyAlignment="1">
      <alignment horizontal="left"/>
    </xf>
    <xf numFmtId="165" fontId="29" fillId="0" borderId="0" xfId="73" applyNumberFormat="1" applyFont="1" applyAlignment="1">
      <alignment horizontal="left" vertical="center"/>
    </xf>
    <xf numFmtId="15" fontId="55" fillId="60" borderId="0" xfId="73" applyNumberFormat="1" applyFont="1" applyFill="1" applyAlignment="1">
      <alignment horizontal="left"/>
    </xf>
    <xf numFmtId="0" fontId="30" fillId="0" borderId="0" xfId="59">
      <alignment vertical="top"/>
    </xf>
  </cellXfs>
  <cellStyles count="78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Calculation" xfId="13" builtinId="22" hidden="1"/>
    <cellStyle name="Check Cell" xfId="15" builtinId="23" hidden="1"/>
    <cellStyle name="Column 1" xfId="66" xr:uid="{00000000-0005-0000-0000-00001B000000}"/>
    <cellStyle name="Column 2 + 3" xfId="67" xr:uid="{00000000-0005-0000-0000-00001C000000}"/>
    <cellStyle name="Column 4" xfId="68" xr:uid="{00000000-0005-0000-0000-00001D000000}"/>
    <cellStyle name="Comma" xfId="1" builtinId="3" customBuiltin="1"/>
    <cellStyle name="Counterflow" xfId="54" xr:uid="{00000000-0005-0000-0000-00001F000000}"/>
    <cellStyle name="DateLong" xfId="60" xr:uid="{00000000-0005-0000-0000-000020000000}"/>
    <cellStyle name="DateShort" xfId="61" xr:uid="{00000000-0005-0000-0000-000021000000}"/>
    <cellStyle name="Documentation" xfId="59" xr:uid="{00000000-0005-0000-0000-000022000000}"/>
    <cellStyle name="End of sheet" xfId="77" xr:uid="{00000000-0005-0000-0000-000023000000}"/>
    <cellStyle name="Explanatory Text" xfId="18" builtinId="53" hidden="1"/>
    <cellStyle name="Export" xfId="56" xr:uid="{00000000-0005-0000-0000-000025000000}"/>
    <cellStyle name="Factor" xfId="62" xr:uid="{00000000-0005-0000-0000-000026000000}"/>
    <cellStyle name="Good" xfId="8" builtinId="26" hidden="1"/>
    <cellStyle name="Hard coded" xfId="57" xr:uid="{00000000-0005-0000-0000-000028000000}"/>
    <cellStyle name="Heading 1" xfId="4" builtinId="16" hidden="1"/>
    <cellStyle name="Heading 1" xfId="75" builtinId="16"/>
    <cellStyle name="Heading 2" xfId="5" builtinId="17" hidden="1"/>
    <cellStyle name="Heading 3" xfId="6" builtinId="18" hidden="1"/>
    <cellStyle name="Heading 4" xfId="7" builtinId="19" hidden="1"/>
    <cellStyle name="Hyperlink 2" xfId="74" xr:uid="{00000000-0005-0000-0000-00002E000000}"/>
    <cellStyle name="Import" xfId="55" xr:uid="{00000000-0005-0000-0000-00002F000000}"/>
    <cellStyle name="Input" xfId="11" builtinId="20" hidden="1"/>
    <cellStyle name="Level 1 Heading" xfId="63" xr:uid="{00000000-0005-0000-0000-000031000000}"/>
    <cellStyle name="Level 2 Heading" xfId="64" xr:uid="{00000000-0005-0000-0000-000032000000}"/>
    <cellStyle name="Level 3 Heading" xfId="65" xr:uid="{00000000-0005-0000-0000-000033000000}"/>
    <cellStyle name="Linked Cell" xfId="14" builtinId="24" hidden="1"/>
    <cellStyle name="Neutral" xfId="10" builtinId="28" hidden="1"/>
    <cellStyle name="Normal" xfId="0" builtinId="0" customBuiltin="1"/>
    <cellStyle name="Normal 2" xfId="70" xr:uid="{00000000-0005-0000-0000-000037000000}"/>
    <cellStyle name="Normal 3" xfId="73" xr:uid="{00000000-0005-0000-0000-000038000000}"/>
    <cellStyle name="Note" xfId="17" builtinId="10" hidden="1"/>
    <cellStyle name="Output" xfId="12" builtinId="21" hidden="1"/>
    <cellStyle name="Pantone 130C" xfId="47" xr:uid="{00000000-0005-0000-0000-00003B000000}"/>
    <cellStyle name="Pantone 179C" xfId="52" xr:uid="{00000000-0005-0000-0000-00003C000000}"/>
    <cellStyle name="Pantone 232C" xfId="51" xr:uid="{00000000-0005-0000-0000-00003D000000}"/>
    <cellStyle name="Pantone 2745C" xfId="50" xr:uid="{00000000-0005-0000-0000-00003E000000}"/>
    <cellStyle name="Pantone 279C" xfId="45" xr:uid="{00000000-0005-0000-0000-00003F000000}"/>
    <cellStyle name="Pantone 281C" xfId="44" xr:uid="{00000000-0005-0000-0000-000040000000}"/>
    <cellStyle name="Pantone 451C" xfId="46" xr:uid="{00000000-0005-0000-0000-000041000000}"/>
    <cellStyle name="Pantone 583C" xfId="49" xr:uid="{00000000-0005-0000-0000-000042000000}"/>
    <cellStyle name="Pantone 633C" xfId="48" xr:uid="{00000000-0005-0000-0000-000043000000}"/>
    <cellStyle name="Percent" xfId="2" builtinId="5" customBuiltin="1"/>
    <cellStyle name="Percent [0]" xfId="58" xr:uid="{00000000-0005-0000-0000-000045000000}"/>
    <cellStyle name="Percent 2" xfId="71" xr:uid="{00000000-0005-0000-0000-000046000000}"/>
    <cellStyle name="Title" xfId="3" builtinId="15" hidden="1"/>
    <cellStyle name="Title" xfId="72" builtinId="15"/>
    <cellStyle name="Total" xfId="19" builtinId="25" hidden="1"/>
    <cellStyle name="Warning Text" xfId="16" builtinId="11" customBuiltin="1"/>
    <cellStyle name="Warning Text 2" xfId="76" xr:uid="{00000000-0005-0000-0000-00004B000000}"/>
    <cellStyle name="WIP" xfId="53" xr:uid="{00000000-0005-0000-0000-00004C000000}"/>
    <cellStyle name="Year" xfId="69" xr:uid="{00000000-0005-0000-0000-00004D000000}"/>
  </cellStyles>
  <dxfs count="4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86BF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99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3</xdr:row>
      <xdr:rowOff>38100</xdr:rowOff>
    </xdr:from>
    <xdr:to>
      <xdr:col>5</xdr:col>
      <xdr:colOff>326882</xdr:colOff>
      <xdr:row>6</xdr:row>
      <xdr:rowOff>192884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58931-7A2C-47ED-9685-2DACD36FE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9650" y="698500"/>
          <a:ext cx="2647807" cy="76438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2</xdr:col>
      <xdr:colOff>139700</xdr:colOff>
      <xdr:row>26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06C7C7-0555-4685-AD38-41F5B3181A46}"/>
            </a:ext>
          </a:extLst>
        </xdr:cNvPr>
        <xdr:cNvSpPr txBox="1"/>
      </xdr:nvSpPr>
      <xdr:spPr>
        <a:xfrm>
          <a:off x="2127250" y="1879600"/>
          <a:ext cx="7683500" cy="2657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Our PR19 methodology introduced a tax true-up mechanism, which will take account of any changes to corporation tax or capital allowance rates after we make our final determinations, as these are significant drivers of the tax allowance.</a:t>
          </a:r>
        </a:p>
        <a:p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We will recalculate the tax allowance for each year, to reflect changes to either the headline corporation tax rate or to the writing down allowances available on capital expenditure. </a:t>
          </a:r>
          <a:r>
            <a:rPr lang="en-GB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calculating the reconciliation adjustments for corporation tax, we</a:t>
          </a:r>
        </a:p>
        <a:p>
          <a:r>
            <a:rPr lang="en-GB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also</a:t>
          </a:r>
          <a:r>
            <a:rPr lang="en-GB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take into account the impact on the tax charge arising from changes to the cost of debt, derived from the cost of new debt index mechanism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To do this, we will rerun the PR19 financial model using the totex allowances, PAYG and RCV run-off rates (set out in the final determination).</a:t>
          </a:r>
        </a:p>
        <a:p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The reconciliation also contains input lines to enable companies to capture any adjustments necessary if it hasn’t paid full tax value for any group losses utilised in 2020-25 (or where it hasn’t charged full tax value for any losses surrendered to other group companies). </a:t>
          </a:r>
        </a:p>
        <a:p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We will make these true-up adjustments at the end of the period, at the same time as we make true-up adjustments in respect of the cost of debt.</a:t>
          </a:r>
        </a:p>
      </xdr:txBody>
    </xdr:sp>
    <xdr:clientData/>
  </xdr:twoCellAnchor>
  <xdr:twoCellAnchor>
    <xdr:from>
      <xdr:col>1</xdr:col>
      <xdr:colOff>12700</xdr:colOff>
      <xdr:row>27</xdr:row>
      <xdr:rowOff>6350</xdr:rowOff>
    </xdr:from>
    <xdr:to>
      <xdr:col>2</xdr:col>
      <xdr:colOff>139700</xdr:colOff>
      <xdr:row>47</xdr:row>
      <xdr:rowOff>155575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6A2B4506-2814-4A10-B5F5-77907AF02E63}"/>
            </a:ext>
          </a:extLst>
        </xdr:cNvPr>
        <xdr:cNvSpPr/>
      </xdr:nvSpPr>
      <xdr:spPr>
        <a:xfrm>
          <a:off x="2139950" y="4616450"/>
          <a:ext cx="7670800" cy="3324225"/>
        </a:xfrm>
        <a:prstGeom prst="rect">
          <a:avLst/>
        </a:prstGeom>
        <a:solidFill>
          <a:schemeClr val="bg1"/>
        </a:solidFill>
        <a:ln w="1587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1130300</xdr:colOff>
      <xdr:row>27</xdr:row>
      <xdr:rowOff>142875</xdr:rowOff>
    </xdr:from>
    <xdr:to>
      <xdr:col>1</xdr:col>
      <xdr:colOff>7065107</xdr:colOff>
      <xdr:row>46</xdr:row>
      <xdr:rowOff>142875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C05859DC-6CF9-4ED6-A3B7-3712EF7E1CCF}"/>
            </a:ext>
          </a:extLst>
        </xdr:cNvPr>
        <xdr:cNvGrpSpPr/>
      </xdr:nvGrpSpPr>
      <xdr:grpSpPr>
        <a:xfrm>
          <a:off x="3218180" y="4897755"/>
          <a:ext cx="5934807" cy="3185160"/>
          <a:chOff x="4648200" y="5562600"/>
          <a:chExt cx="5706207" cy="3076575"/>
        </a:xfrm>
      </xdr:grpSpPr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B0C7EF66-A1F7-4CFF-9345-8A684BB4602A}"/>
              </a:ext>
            </a:extLst>
          </xdr:cNvPr>
          <xdr:cNvSpPr txBox="1"/>
        </xdr:nvSpPr>
        <xdr:spPr>
          <a:xfrm>
            <a:off x="6566389" y="5816112"/>
            <a:ext cx="1882286" cy="1041888"/>
          </a:xfrm>
          <a:prstGeom prst="rect">
            <a:avLst/>
          </a:prstGeom>
          <a:solidFill>
            <a:schemeClr val="lt1"/>
          </a:solidFill>
          <a:ln w="158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Update tax rates,</a:t>
            </a:r>
            <a:r>
              <a:rPr lang="en-GB" sz="1000" baseline="0">
                <a:latin typeface="Arial" panose="020B0604020202020204" pitchFamily="34" charset="0"/>
                <a:cs typeface="Arial" panose="020B0604020202020204" pitchFamily="34" charset="0"/>
              </a:rPr>
              <a:t> writing down allowance rates, Totex and WRFIM tax allowance flags, and interest rate overrides</a:t>
            </a:r>
            <a:endParaRPr lang="en-GB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9AD8F362-EBF2-4315-9F2F-F59CBB8F2915}"/>
              </a:ext>
            </a:extLst>
          </xdr:cNvPr>
          <xdr:cNvSpPr txBox="1"/>
        </xdr:nvSpPr>
        <xdr:spPr>
          <a:xfrm>
            <a:off x="4648200" y="5562600"/>
            <a:ext cx="1829532" cy="552450"/>
          </a:xfrm>
          <a:prstGeom prst="rect">
            <a:avLst/>
          </a:prstGeom>
          <a:solidFill>
            <a:srgbClr val="99CCFF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FD financial model</a:t>
            </a:r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0870D133-C87D-463A-838D-061DC6E550F2}"/>
              </a:ext>
            </a:extLst>
          </xdr:cNvPr>
          <xdr:cNvSpPr txBox="1"/>
        </xdr:nvSpPr>
        <xdr:spPr>
          <a:xfrm>
            <a:off x="8524143" y="5562600"/>
            <a:ext cx="1830264" cy="552450"/>
          </a:xfrm>
          <a:prstGeom prst="rect">
            <a:avLst/>
          </a:prstGeom>
          <a:solidFill>
            <a:srgbClr val="99CCFF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Revised financial</a:t>
            </a:r>
            <a:r>
              <a:rPr lang="en-GB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model</a:t>
            </a:r>
          </a:p>
        </xdr:txBody>
      </xdr: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36214181-C1F7-4A34-975E-DFAD70982B44}"/>
              </a:ext>
            </a:extLst>
          </xdr:cNvPr>
          <xdr:cNvCxnSpPr>
            <a:stCxn id="48" idx="3"/>
            <a:endCxn id="49" idx="1"/>
          </xdr:cNvCxnSpPr>
        </xdr:nvCxnSpPr>
        <xdr:spPr>
          <a:xfrm>
            <a:off x="6477732" y="5838459"/>
            <a:ext cx="204641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A931D11C-4882-48F4-817A-70D4871E866F}"/>
              </a:ext>
            </a:extLst>
          </xdr:cNvPr>
          <xdr:cNvSpPr txBox="1"/>
        </xdr:nvSpPr>
        <xdr:spPr>
          <a:xfrm>
            <a:off x="8524143" y="7438293"/>
            <a:ext cx="1830264" cy="553182"/>
          </a:xfrm>
          <a:prstGeom prst="rect">
            <a:avLst/>
          </a:prstGeom>
          <a:solidFill>
            <a:srgbClr val="99CCFF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Tax reconciliation tool</a:t>
            </a:r>
          </a:p>
        </xdr:txBody>
      </xdr: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7BF80D40-6F64-462F-93F3-8C37D3CF1746}"/>
              </a:ext>
            </a:extLst>
          </xdr:cNvPr>
          <xdr:cNvCxnSpPr>
            <a:stCxn id="49" idx="2"/>
            <a:endCxn id="51" idx="0"/>
          </xdr:cNvCxnSpPr>
        </xdr:nvCxnSpPr>
        <xdr:spPr>
          <a:xfrm>
            <a:off x="9438543" y="6115050"/>
            <a:ext cx="0" cy="1323243"/>
          </a:xfrm>
          <a:prstGeom prst="straightConnector1">
            <a:avLst/>
          </a:prstGeom>
          <a:ln w="15875">
            <a:solidFill>
              <a:schemeClr val="tx1"/>
            </a:solidFill>
            <a:prstDash val="dashDot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B978CC32-7FE5-4614-AE2C-2DF47ABD5C9F}"/>
              </a:ext>
            </a:extLst>
          </xdr:cNvPr>
          <xdr:cNvCxnSpPr>
            <a:stCxn id="48" idx="2"/>
            <a:endCxn id="51" idx="1"/>
          </xdr:cNvCxnSpPr>
        </xdr:nvCxnSpPr>
        <xdr:spPr>
          <a:xfrm>
            <a:off x="5562600" y="6115050"/>
            <a:ext cx="2961543" cy="1599834"/>
          </a:xfrm>
          <a:prstGeom prst="straightConnector1">
            <a:avLst/>
          </a:prstGeom>
          <a:ln w="15875">
            <a:solidFill>
              <a:schemeClr val="tx1"/>
            </a:solidFill>
            <a:prstDash val="dashDot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AE911203-98ED-4211-82F6-3CD636316C86}"/>
              </a:ext>
            </a:extLst>
          </xdr:cNvPr>
          <xdr:cNvSpPr txBox="1"/>
        </xdr:nvSpPr>
        <xdr:spPr>
          <a:xfrm>
            <a:off x="8524143" y="8085992"/>
            <a:ext cx="1830264" cy="553183"/>
          </a:xfrm>
          <a:prstGeom prst="rect">
            <a:avLst/>
          </a:prstGeom>
          <a:solidFill>
            <a:schemeClr val="lt1"/>
          </a:solidFill>
          <a:ln w="158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Calculate</a:t>
            </a:r>
            <a:r>
              <a:rPr lang="en-GB" sz="1000" baseline="0">
                <a:latin typeface="Arial" panose="020B0604020202020204" pitchFamily="34" charset="0"/>
                <a:cs typeface="Arial" panose="020B0604020202020204" pitchFamily="34" charset="0"/>
              </a:rPr>
              <a:t> NPV of differences in tax allowances between models</a:t>
            </a:r>
            <a:endParaRPr lang="en-GB" sz="10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2D048600-4C02-42BF-A57E-4B098BD42C1C}"/>
              </a:ext>
            </a:extLst>
          </xdr:cNvPr>
          <xdr:cNvSpPr txBox="1"/>
        </xdr:nvSpPr>
        <xdr:spPr>
          <a:xfrm>
            <a:off x="9511078" y="6501179"/>
            <a:ext cx="747347" cy="393456"/>
          </a:xfrm>
          <a:prstGeom prst="rect">
            <a:avLst/>
          </a:prstGeom>
          <a:solidFill>
            <a:schemeClr val="lt1"/>
          </a:solidFill>
          <a:ln w="158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Model link</a:t>
            </a: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EFF6BC96-0243-42A0-80E1-EE1F2D0A66FF}"/>
              </a:ext>
            </a:extLst>
          </xdr:cNvPr>
          <xdr:cNvSpPr txBox="1"/>
        </xdr:nvSpPr>
        <xdr:spPr>
          <a:xfrm>
            <a:off x="6409591" y="7044837"/>
            <a:ext cx="747347" cy="392723"/>
          </a:xfrm>
          <a:prstGeom prst="rect">
            <a:avLst/>
          </a:prstGeom>
          <a:solidFill>
            <a:schemeClr val="lt1"/>
          </a:solidFill>
          <a:ln w="158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Model link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1023915</xdr:colOff>
      <xdr:row>1</xdr:row>
      <xdr:rowOff>11910</xdr:rowOff>
    </xdr:from>
    <xdr:to>
      <xdr:col>4</xdr:col>
      <xdr:colOff>3543915</xdr:colOff>
      <xdr:row>3</xdr:row>
      <xdr:rowOff>53458</xdr:rowOff>
    </xdr:to>
    <xdr:sp macro="[0]!CAPTURE_TRACK" textlink="">
      <xdr:nvSpPr>
        <xdr:cNvPr id="2" name="buttonStoreResults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SpPr>
          <a:spLocks noChangeArrowheads="1"/>
        </xdr:cNvSpPr>
      </xdr:nvSpPr>
      <xdr:spPr bwMode="auto">
        <a:xfrm>
          <a:off x="1519215" y="345285"/>
          <a:ext cx="2520000" cy="365398"/>
        </a:xfrm>
        <a:prstGeom prst="roundRect">
          <a:avLst>
            <a:gd name="adj" fmla="val 16667"/>
          </a:avLst>
        </a:prstGeom>
        <a:solidFill>
          <a:srgbClr val="0078C9"/>
        </a:solidFill>
        <a:ln w="19050" algn="ctr">
          <a:noFill/>
          <a:round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chemeClr val="bg1"/>
              </a:solidFill>
              <a:latin typeface="Franklin Gothic Demi" panose="020B0703020102020204" pitchFamily="34" charset="0"/>
              <a:cs typeface="Arial" panose="020B0604020202020204" pitchFamily="34" charset="0"/>
            </a:rPr>
            <a:t>STORE TRACK</a:t>
          </a:r>
          <a:endParaRPr lang="en-US" b="0">
            <a:solidFill>
              <a:schemeClr val="bg1"/>
            </a:solidFill>
            <a:latin typeface="Franklin Gothic Demi" panose="020B07030201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3"/>
  <sheetViews>
    <sheetView workbookViewId="0">
      <pane ySplit="9" topLeftCell="A43" activePane="bottomLeft" state="frozen"/>
      <selection pane="bottomLeft" activeCell="C57" sqref="C57"/>
    </sheetView>
  </sheetViews>
  <sheetFormatPr defaultColWidth="0" defaultRowHeight="13.2"/>
  <cols>
    <col min="1" max="1" width="30.44140625" style="306" bestFit="1" customWidth="1"/>
    <col min="2" max="2" width="128.77734375" style="306" customWidth="1"/>
    <col min="3" max="3" width="19.21875" style="306" customWidth="1"/>
    <col min="4" max="6" width="8.77734375" style="306" customWidth="1"/>
    <col min="7" max="16384" width="8.77734375" style="306" hidden="1"/>
  </cols>
  <sheetData>
    <row r="1" spans="1:6" ht="30.6" thickBot="1">
      <c r="A1" s="305" t="str">
        <f ca="1" xml:space="preserve"> RIGHT(CELL("filename", $A$1), LEN(CELL("filename", $A$1)) - SEARCH("]", CELL("filename", $A$1)))</f>
        <v>Cover</v>
      </c>
      <c r="B1" s="305"/>
      <c r="C1" s="305"/>
      <c r="D1" s="305"/>
      <c r="E1" s="305"/>
      <c r="F1" s="305"/>
    </row>
    <row r="2" spans="1:6" ht="4.05" customHeight="1">
      <c r="A2" s="307"/>
      <c r="B2" s="307"/>
      <c r="C2" s="307"/>
      <c r="D2" s="307"/>
      <c r="E2" s="307"/>
      <c r="F2" s="307"/>
    </row>
    <row r="3" spans="1:6" ht="16.2">
      <c r="A3" s="308" t="s">
        <v>0</v>
      </c>
      <c r="B3" s="308" t="s">
        <v>1</v>
      </c>
      <c r="C3" s="309"/>
      <c r="D3" s="309"/>
      <c r="E3" s="309"/>
      <c r="F3" s="309"/>
    </row>
    <row r="4" spans="1:6" ht="16.2">
      <c r="A4" s="308" t="s">
        <v>2</v>
      </c>
      <c r="B4" s="308" t="s">
        <v>3</v>
      </c>
      <c r="C4" s="309"/>
      <c r="D4" s="309"/>
      <c r="E4" s="309"/>
      <c r="F4" s="309"/>
    </row>
    <row r="5" spans="1:6" ht="16.2">
      <c r="A5" s="308" t="s">
        <v>4</v>
      </c>
      <c r="B5" s="308" t="s">
        <v>303</v>
      </c>
      <c r="C5" s="309"/>
      <c r="D5" s="309"/>
      <c r="E5" s="309"/>
      <c r="F5" s="309"/>
    </row>
    <row r="6" spans="1:6" ht="16.2">
      <c r="A6" s="308" t="s">
        <v>5</v>
      </c>
      <c r="B6" s="318">
        <v>44167</v>
      </c>
      <c r="C6" s="309"/>
      <c r="D6" s="309"/>
      <c r="E6" s="309"/>
      <c r="F6" s="309"/>
    </row>
    <row r="7" spans="1:6" ht="16.2">
      <c r="A7" s="308" t="s">
        <v>6</v>
      </c>
      <c r="B7" s="308" t="s">
        <v>7</v>
      </c>
      <c r="C7" s="309"/>
      <c r="D7" s="309"/>
      <c r="E7" s="309"/>
      <c r="F7" s="309"/>
    </row>
    <row r="8" spans="1:6" ht="16.2">
      <c r="A8" s="308" t="s">
        <v>8</v>
      </c>
      <c r="B8" s="308" t="s">
        <v>302</v>
      </c>
      <c r="C8" s="309"/>
      <c r="D8" s="309"/>
      <c r="E8" s="309"/>
      <c r="F8" s="309"/>
    </row>
    <row r="9" spans="1:6" ht="4.05" customHeight="1">
      <c r="A9" s="308"/>
      <c r="B9" s="308"/>
      <c r="C9" s="308"/>
      <c r="D9" s="308"/>
      <c r="E9" s="308"/>
      <c r="F9" s="308"/>
    </row>
    <row r="11" spans="1:6" ht="15">
      <c r="A11" s="310" t="s">
        <v>9</v>
      </c>
      <c r="B11" s="311"/>
    </row>
    <row r="12" spans="1:6">
      <c r="A12" s="311"/>
      <c r="B12" s="311"/>
    </row>
    <row r="13" spans="1:6">
      <c r="A13" s="311"/>
      <c r="B13" s="311"/>
    </row>
    <row r="14" spans="1:6">
      <c r="A14" s="311"/>
      <c r="B14" s="311"/>
    </row>
    <row r="15" spans="1:6">
      <c r="A15" s="311"/>
      <c r="B15" s="311"/>
    </row>
    <row r="16" spans="1:6">
      <c r="A16" s="311"/>
      <c r="B16" s="311"/>
    </row>
    <row r="17" spans="1:2">
      <c r="A17" s="311"/>
      <c r="B17" s="311"/>
    </row>
    <row r="18" spans="1:2">
      <c r="A18" s="311"/>
      <c r="B18" s="311"/>
    </row>
    <row r="19" spans="1:2">
      <c r="A19" s="311"/>
      <c r="B19" s="311"/>
    </row>
    <row r="20" spans="1:2">
      <c r="A20" s="311"/>
      <c r="B20" s="311"/>
    </row>
    <row r="21" spans="1:2">
      <c r="A21" s="311"/>
      <c r="B21" s="311"/>
    </row>
    <row r="22" spans="1:2">
      <c r="A22" s="311"/>
      <c r="B22" s="311"/>
    </row>
    <row r="23" spans="1:2">
      <c r="A23" s="311"/>
      <c r="B23" s="311"/>
    </row>
    <row r="24" spans="1:2">
      <c r="A24" s="311"/>
      <c r="B24" s="311"/>
    </row>
    <row r="25" spans="1:2">
      <c r="A25" s="311"/>
      <c r="B25" s="311"/>
    </row>
    <row r="26" spans="1:2">
      <c r="A26" s="311"/>
      <c r="B26" s="311"/>
    </row>
    <row r="27" spans="1:2">
      <c r="A27" s="311"/>
      <c r="B27" s="311"/>
    </row>
    <row r="28" spans="1:2">
      <c r="A28" s="311"/>
      <c r="B28" s="311"/>
    </row>
    <row r="29" spans="1:2">
      <c r="A29" s="311"/>
      <c r="B29" s="311"/>
    </row>
    <row r="30" spans="1:2">
      <c r="A30" s="311"/>
      <c r="B30" s="311"/>
    </row>
    <row r="31" spans="1:2">
      <c r="A31" s="311"/>
      <c r="B31" s="311"/>
    </row>
    <row r="32" spans="1:2">
      <c r="A32" s="311"/>
      <c r="B32" s="311"/>
    </row>
    <row r="33" spans="1:2">
      <c r="A33" s="311"/>
      <c r="B33" s="311"/>
    </row>
    <row r="34" spans="1:2">
      <c r="A34" s="311"/>
      <c r="B34" s="311"/>
    </row>
    <row r="35" spans="1:2">
      <c r="A35" s="311"/>
      <c r="B35" s="311"/>
    </row>
    <row r="36" spans="1:2">
      <c r="A36" s="311"/>
      <c r="B36" s="311"/>
    </row>
    <row r="37" spans="1:2">
      <c r="A37" s="311"/>
      <c r="B37" s="311"/>
    </row>
    <row r="38" spans="1:2">
      <c r="A38" s="311"/>
      <c r="B38" s="311"/>
    </row>
    <row r="39" spans="1:2">
      <c r="A39" s="311"/>
      <c r="B39" s="311"/>
    </row>
    <row r="40" spans="1:2">
      <c r="A40" s="311"/>
      <c r="B40" s="311"/>
    </row>
    <row r="41" spans="1:2">
      <c r="A41" s="311"/>
      <c r="B41" s="311"/>
    </row>
    <row r="42" spans="1:2">
      <c r="A42" s="311"/>
      <c r="B42" s="311"/>
    </row>
    <row r="43" spans="1:2">
      <c r="A43" s="311"/>
      <c r="B43" s="311"/>
    </row>
    <row r="44" spans="1:2">
      <c r="A44" s="311"/>
      <c r="B44" s="311"/>
    </row>
    <row r="45" spans="1:2">
      <c r="A45" s="311"/>
      <c r="B45" s="311"/>
    </row>
    <row r="46" spans="1:2">
      <c r="A46" s="311"/>
      <c r="B46" s="311"/>
    </row>
    <row r="47" spans="1:2">
      <c r="A47" s="311"/>
      <c r="B47" s="311"/>
    </row>
    <row r="48" spans="1:2">
      <c r="A48" s="311"/>
      <c r="B48" s="311"/>
    </row>
    <row r="49" spans="1:4" ht="15">
      <c r="A49" s="310" t="s">
        <v>10</v>
      </c>
      <c r="B49" s="312" t="s">
        <v>11</v>
      </c>
    </row>
    <row r="50" spans="1:4">
      <c r="A50" s="311"/>
      <c r="B50" s="311"/>
    </row>
    <row r="51" spans="1:4" ht="15">
      <c r="A51" s="310" t="s">
        <v>12</v>
      </c>
      <c r="B51" s="15" t="s">
        <v>13</v>
      </c>
      <c r="C51" s="319" t="s">
        <v>304</v>
      </c>
    </row>
    <row r="52" spans="1:4" ht="15">
      <c r="A52" s="310"/>
      <c r="B52" s="15" t="s">
        <v>14</v>
      </c>
      <c r="C52" s="319" t="e">
        <v>#N/A</v>
      </c>
      <c r="D52" s="319" t="e">
        <v>#N/A</v>
      </c>
    </row>
    <row r="53" spans="1:4" ht="15">
      <c r="A53" s="310"/>
      <c r="B53" s="15" t="s">
        <v>15</v>
      </c>
      <c r="C53" s="319" t="s">
        <v>304</v>
      </c>
    </row>
    <row r="54" spans="1:4" ht="15">
      <c r="A54" s="310"/>
      <c r="B54" s="15" t="s">
        <v>16</v>
      </c>
      <c r="C54" s="319" t="s">
        <v>305</v>
      </c>
    </row>
    <row r="55" spans="1:4" ht="15">
      <c r="A55" s="310"/>
      <c r="B55" s="15" t="s">
        <v>17</v>
      </c>
    </row>
    <row r="56" spans="1:4" ht="15">
      <c r="A56" s="310"/>
      <c r="B56" s="15" t="s">
        <v>18</v>
      </c>
    </row>
    <row r="57" spans="1:4" ht="15">
      <c r="A57" s="310"/>
      <c r="B57" s="16" t="s">
        <v>19</v>
      </c>
    </row>
    <row r="58" spans="1:4" ht="15">
      <c r="A58" s="310"/>
      <c r="B58" s="15" t="s">
        <v>20</v>
      </c>
    </row>
    <row r="59" spans="1:4" ht="15">
      <c r="A59" s="310"/>
      <c r="B59" s="15" t="s">
        <v>21</v>
      </c>
      <c r="C59" s="319" t="s">
        <v>304</v>
      </c>
    </row>
    <row r="60" spans="1:4" ht="15">
      <c r="A60" s="310"/>
      <c r="B60" s="15" t="s">
        <v>22</v>
      </c>
      <c r="C60" s="319" t="s">
        <v>304</v>
      </c>
    </row>
    <row r="61" spans="1:4" ht="15">
      <c r="A61" s="310"/>
      <c r="B61" s="15" t="s">
        <v>23</v>
      </c>
      <c r="C61" s="319" t="s">
        <v>304</v>
      </c>
    </row>
    <row r="62" spans="1:4">
      <c r="A62" s="311"/>
      <c r="B62" s="311"/>
    </row>
    <row r="63" spans="1:4" ht="15">
      <c r="A63" s="310" t="s">
        <v>24</v>
      </c>
      <c r="B63" s="311" t="s">
        <v>25</v>
      </c>
    </row>
    <row r="64" spans="1:4">
      <c r="A64" s="311"/>
      <c r="B64" s="311"/>
    </row>
    <row r="65" spans="1:4" ht="15">
      <c r="A65" s="310" t="s">
        <v>26</v>
      </c>
      <c r="B65" s="16" t="s">
        <v>27</v>
      </c>
      <c r="C65" s="157" t="s">
        <v>306</v>
      </c>
    </row>
    <row r="66" spans="1:4">
      <c r="A66" s="311"/>
      <c r="B66" s="16" t="s">
        <v>28</v>
      </c>
      <c r="C66" s="153" t="s">
        <v>306</v>
      </c>
    </row>
    <row r="67" spans="1:4" ht="13.8" thickBot="1">
      <c r="A67" s="311"/>
      <c r="B67" s="16"/>
      <c r="C67" s="15"/>
      <c r="D67" s="153"/>
    </row>
    <row r="68" spans="1:4" ht="15.6" thickBot="1">
      <c r="A68" s="310" t="s">
        <v>29</v>
      </c>
      <c r="B68" s="32">
        <f xml:space="preserve"> Checks!$F$9</f>
        <v>0</v>
      </c>
      <c r="C68" s="313" t="s">
        <v>30</v>
      </c>
    </row>
    <row r="69" spans="1:4">
      <c r="A69" s="311"/>
      <c r="B69" s="311"/>
    </row>
    <row r="70" spans="1:4" ht="15">
      <c r="A70" s="310" t="s">
        <v>31</v>
      </c>
      <c r="B70" s="15" t="s">
        <v>32</v>
      </c>
    </row>
    <row r="71" spans="1:4">
      <c r="A71" s="311"/>
      <c r="B71" s="16" t="s">
        <v>33</v>
      </c>
    </row>
    <row r="72" spans="1:4">
      <c r="A72" s="311"/>
      <c r="B72" s="15" t="s">
        <v>34</v>
      </c>
    </row>
    <row r="73" spans="1:4">
      <c r="A73" s="311"/>
      <c r="B73" s="315" t="str">
        <f xml:space="preserve"> Inputs!E$93</f>
        <v>Water resources - Totex (+ or -) Value Chosen - active - adjusted - real</v>
      </c>
    </row>
    <row r="74" spans="1:4">
      <c r="A74" s="311"/>
      <c r="B74" s="316" t="str">
        <f xml:space="preserve"> Inputs!E$155</f>
        <v>FD MODEL INPUTS - Water resources - Totex (+ or -) Value Chosen - active - adjusted - real</v>
      </c>
    </row>
    <row r="75" spans="1:4">
      <c r="A75" s="311"/>
      <c r="B75" s="315" t="str">
        <f xml:space="preserve"> Inputs!E$219</f>
        <v>Water resources - Totex (+ or -) Value Chosen - active - adjusted - real</v>
      </c>
    </row>
    <row r="76" spans="1:4">
      <c r="A76" s="311"/>
      <c r="B76" s="316" t="str">
        <f xml:space="preserve"> Inputs!E$281</f>
        <v>NEW MODEL INPUTS - Water resources - Totex (+ or -) Value Chosen - active - adjusted - real</v>
      </c>
    </row>
    <row r="77" spans="1:4">
      <c r="A77" s="311"/>
      <c r="B77" s="15" t="s">
        <v>35</v>
      </c>
    </row>
    <row r="78" spans="1:4">
      <c r="A78" s="311"/>
      <c r="B78" s="316" t="str">
        <f xml:space="preserve"> Calcs!E$40</f>
        <v>Difference in Totex adjustment WR - real</v>
      </c>
    </row>
    <row r="79" spans="1:4">
      <c r="A79" s="311"/>
      <c r="B79" s="316" t="str">
        <f xml:space="preserve"> Calcs!E$58</f>
        <v>Difference in WRFIM adjustment WR - real</v>
      </c>
    </row>
    <row r="80" spans="1:4">
      <c r="A80" s="311"/>
      <c r="B80" s="15" t="s">
        <v>36</v>
      </c>
    </row>
    <row r="81" spans="1:6">
      <c r="A81" s="311"/>
      <c r="B81" s="317" t="str">
        <f xml:space="preserve"> Calcs!E$174</f>
        <v>Difference on tax - difference on allowed revenue (adjusted for reconciliation adjustments) WR</v>
      </c>
    </row>
    <row r="83" spans="1:6" ht="13.8">
      <c r="A83" s="314" t="s">
        <v>37</v>
      </c>
      <c r="B83" s="314"/>
      <c r="C83" s="314"/>
      <c r="D83" s="314"/>
      <c r="E83" s="314"/>
      <c r="F83" s="314"/>
    </row>
  </sheetData>
  <conditionalFormatting sqref="B68">
    <cfRule type="cellIs" dxfId="44" priority="1" stopIfTrue="1" operator="notEqual">
      <formula>0</formula>
    </cfRule>
    <cfRule type="cellIs" dxfId="43" priority="2" stopIfTrue="1" operator="equal">
      <formula>""</formula>
    </cfRule>
  </conditionalFormatting>
  <hyperlinks>
    <hyperlink ref="B8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8"/>
  <sheetViews>
    <sheetView showGridLines="0" zoomScaleNormal="100" workbookViewId="0">
      <pane ySplit="1" topLeftCell="A2" activePane="bottomLeft" state="frozen"/>
      <selection pane="bottomLeft" activeCell="D8" sqref="D8"/>
    </sheetView>
  </sheetViews>
  <sheetFormatPr defaultColWidth="0" defaultRowHeight="13.2" zeroHeight="1"/>
  <cols>
    <col min="1" max="1" width="2.77734375" customWidth="1"/>
    <col min="2" max="2" width="36.77734375" bestFit="1" customWidth="1"/>
    <col min="3" max="3" width="3.21875" customWidth="1"/>
    <col min="4" max="4" width="44" customWidth="1"/>
    <col min="5" max="5" width="3.21875" customWidth="1"/>
    <col min="6" max="6" width="54.77734375" customWidth="1"/>
    <col min="7" max="7" width="3.21875" customWidth="1"/>
    <col min="8" max="8" width="43" bestFit="1" customWidth="1"/>
    <col min="9" max="9" width="17.44140625" customWidth="1"/>
    <col min="10" max="10" width="63.21875" hidden="1" customWidth="1"/>
    <col min="11" max="16384" width="9.21875" hidden="1"/>
  </cols>
  <sheetData>
    <row r="1" spans="1:11" s="130" customFormat="1" ht="24.6">
      <c r="A1" s="117" t="str">
        <f ca="1" xml:space="preserve"> RIGHT(CELL("filename", $A$1), LEN(CELL("filename", $A$1)) - SEARCH("]", CELL("filename", $A$1)))</f>
        <v>Map and key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/>
    <row r="3" spans="1:11">
      <c r="B3" t="s">
        <v>38</v>
      </c>
      <c r="D3" t="s">
        <v>39</v>
      </c>
      <c r="F3" t="s">
        <v>40</v>
      </c>
      <c r="H3" t="s">
        <v>41</v>
      </c>
    </row>
    <row r="4" spans="1:11"/>
    <row r="5" spans="1:11">
      <c r="B5" s="283" t="str">
        <f ca="1">Cover!A1</f>
        <v>Cover</v>
      </c>
      <c r="C5" s="284"/>
      <c r="D5" s="287" t="str">
        <f ca="1">Inputs!$A$1</f>
        <v>Inputs</v>
      </c>
      <c r="E5" s="284"/>
      <c r="F5" s="283" t="str">
        <f ca="1">Time!A$1</f>
        <v>Time</v>
      </c>
      <c r="G5" s="284"/>
      <c r="H5" s="285" t="str">
        <f ca="1">Dashboard!$A$1</f>
        <v>Dashboard</v>
      </c>
    </row>
    <row r="6" spans="1:11">
      <c r="B6" t="s">
        <v>42</v>
      </c>
      <c r="D6" t="s">
        <v>43</v>
      </c>
      <c r="F6" t="s">
        <v>44</v>
      </c>
      <c r="H6" t="s">
        <v>45</v>
      </c>
    </row>
    <row r="7" spans="1:11">
      <c r="F7" s="42"/>
    </row>
    <row r="8" spans="1:11">
      <c r="B8" s="283" t="str">
        <f ca="1">'Model formatting'!$A$1</f>
        <v>Model formatting</v>
      </c>
      <c r="C8" s="284"/>
      <c r="D8" s="284"/>
      <c r="E8" s="284"/>
      <c r="F8" s="283" t="str">
        <f ca="1">Calcs!$A$1</f>
        <v>Calcs</v>
      </c>
      <c r="G8" s="284"/>
      <c r="H8" s="286" t="str">
        <f ca="1">Checks!$A$1</f>
        <v>Checks</v>
      </c>
    </row>
    <row r="9" spans="1:11">
      <c r="B9" t="s">
        <v>46</v>
      </c>
      <c r="F9" t="s">
        <v>47</v>
      </c>
      <c r="H9" t="s">
        <v>48</v>
      </c>
    </row>
    <row r="10" spans="1:11"/>
    <row r="11" spans="1:11">
      <c r="B11" s="283" t="str">
        <f ca="1">$A$1</f>
        <v>Map and key</v>
      </c>
      <c r="H11" s="286" t="str">
        <f ca="1">Track!$A$1</f>
        <v>Track</v>
      </c>
    </row>
    <row r="12" spans="1:11">
      <c r="B12" t="s">
        <v>49</v>
      </c>
      <c r="H12" t="s">
        <v>50</v>
      </c>
    </row>
    <row r="13" spans="1:11"/>
    <row r="14" spans="1:11"/>
    <row r="15" spans="1:11"/>
    <row r="16" spans="1:11"/>
    <row r="17" spans="1:1" s="1" customFormat="1">
      <c r="A17" s="14" t="s">
        <v>51</v>
      </c>
    </row>
    <row r="18" spans="1:1"/>
  </sheetData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FC56"/>
  <sheetViews>
    <sheetView workbookViewId="0"/>
  </sheetViews>
  <sheetFormatPr defaultColWidth="0" defaultRowHeight="13.2" zeroHeight="1"/>
  <cols>
    <col min="1" max="4" width="2.77734375" customWidth="1"/>
    <col min="5" max="5" width="9.21875" customWidth="1"/>
    <col min="6" max="6" width="34.21875" customWidth="1"/>
    <col min="7" max="8" width="9.21875" customWidth="1"/>
    <col min="9" max="9" width="94.21875" customWidth="1"/>
    <col min="10" max="16383" width="9.21875" hidden="1"/>
    <col min="16384" max="16384" width="12.44140625" hidden="1" customWidth="1"/>
  </cols>
  <sheetData>
    <row r="1" spans="1:9" s="121" customFormat="1" ht="24.6">
      <c r="A1" s="117" t="str">
        <f ca="1" xml:space="preserve"> RIGHT(CELL("filename", $A$1), LEN(CELL("filename", $A$1)) - SEARCH("]", CELL("filename", $A$1)))</f>
        <v>Model formatting</v>
      </c>
    </row>
    <row r="2" spans="1:9"/>
    <row r="3" spans="1:9"/>
    <row r="4" spans="1:9">
      <c r="A4" s="134" t="s">
        <v>52</v>
      </c>
      <c r="B4" s="134"/>
      <c r="C4" s="135"/>
      <c r="D4" s="136"/>
      <c r="E4" s="134"/>
      <c r="F4" s="134"/>
      <c r="G4" s="134"/>
      <c r="H4" s="134"/>
      <c r="I4" s="134"/>
    </row>
    <row r="5" spans="1:9">
      <c r="A5" s="13"/>
      <c r="B5" s="13"/>
      <c r="C5" s="12"/>
      <c r="D5" s="11"/>
      <c r="E5" s="49"/>
      <c r="F5" s="49"/>
      <c r="G5" s="49"/>
      <c r="H5" s="49"/>
      <c r="I5" s="49"/>
    </row>
    <row r="6" spans="1:9">
      <c r="A6" s="13"/>
      <c r="B6" s="13"/>
      <c r="C6" s="12"/>
      <c r="D6" s="11"/>
      <c r="E6" s="137" t="s">
        <v>53</v>
      </c>
      <c r="F6" s="8"/>
      <c r="G6" s="8" t="s">
        <v>54</v>
      </c>
      <c r="H6" s="49"/>
      <c r="I6" s="49"/>
    </row>
    <row r="7" spans="1:9">
      <c r="A7" s="13"/>
      <c r="B7" s="13"/>
      <c r="C7" s="12"/>
      <c r="D7" s="11"/>
      <c r="E7" s="138"/>
      <c r="F7" s="8"/>
      <c r="G7" s="8"/>
      <c r="H7" s="49"/>
      <c r="I7" s="49"/>
    </row>
    <row r="8" spans="1:9">
      <c r="A8" s="13"/>
      <c r="B8" s="13"/>
      <c r="C8" s="12"/>
      <c r="D8" s="11"/>
      <c r="E8" s="139" t="s">
        <v>55</v>
      </c>
      <c r="F8" s="8"/>
      <c r="G8" s="8" t="s">
        <v>56</v>
      </c>
      <c r="H8" s="49"/>
      <c r="I8" s="49"/>
    </row>
    <row r="9" spans="1:9">
      <c r="A9" s="13"/>
      <c r="B9" s="13"/>
      <c r="C9" s="12"/>
      <c r="D9" s="11"/>
      <c r="E9" s="138"/>
      <c r="F9" s="8"/>
      <c r="G9" s="8"/>
      <c r="H9" s="49"/>
      <c r="I9" s="49"/>
    </row>
    <row r="10" spans="1:9">
      <c r="A10" s="13"/>
      <c r="B10" s="13"/>
      <c r="C10" s="12"/>
      <c r="D10" s="11"/>
      <c r="E10" s="140" t="s">
        <v>57</v>
      </c>
      <c r="F10" s="8"/>
      <c r="G10" s="8" t="s">
        <v>58</v>
      </c>
      <c r="H10" s="49"/>
      <c r="I10" s="49"/>
    </row>
    <row r="11" spans="1:9">
      <c r="A11" s="13"/>
      <c r="B11" s="13"/>
      <c r="C11" s="12"/>
      <c r="D11" s="11"/>
      <c r="E11" s="138"/>
      <c r="F11" s="8"/>
      <c r="G11" s="8"/>
      <c r="H11" s="49"/>
      <c r="I11" s="49"/>
    </row>
    <row r="12" spans="1:9">
      <c r="A12" s="13"/>
      <c r="B12" s="13"/>
      <c r="C12" s="12"/>
      <c r="D12" s="11"/>
      <c r="E12" s="141" t="s">
        <v>59</v>
      </c>
      <c r="F12" s="8"/>
      <c r="G12" s="8" t="s">
        <v>60</v>
      </c>
      <c r="H12" s="49"/>
      <c r="I12" s="49"/>
    </row>
    <row r="13" spans="1:9">
      <c r="A13" s="13"/>
      <c r="B13" s="13"/>
      <c r="C13" s="12"/>
      <c r="D13" s="11"/>
      <c r="E13" s="138"/>
      <c r="F13" s="8"/>
      <c r="G13" s="8"/>
      <c r="H13" s="49"/>
      <c r="I13" s="49"/>
    </row>
    <row r="14" spans="1:9">
      <c r="A14" s="13"/>
      <c r="B14" s="13"/>
      <c r="C14" s="12"/>
      <c r="D14" s="11"/>
      <c r="E14" s="142" t="s">
        <v>61</v>
      </c>
      <c r="F14" s="8"/>
      <c r="G14" s="8" t="s">
        <v>62</v>
      </c>
      <c r="H14" s="8"/>
      <c r="I14" s="8"/>
    </row>
    <row r="15" spans="1:9">
      <c r="A15" s="13"/>
      <c r="B15" s="13"/>
      <c r="C15" s="12"/>
      <c r="D15" s="11"/>
      <c r="E15" s="8"/>
      <c r="F15" s="8"/>
      <c r="G15" s="8"/>
      <c r="H15" s="8"/>
      <c r="I15" s="8"/>
    </row>
    <row r="16" spans="1:9">
      <c r="A16" s="13"/>
      <c r="B16" s="13"/>
      <c r="C16" s="12"/>
      <c r="D16" s="11"/>
      <c r="E16" s="8"/>
      <c r="F16" s="8"/>
      <c r="G16" s="8"/>
      <c r="H16" s="8"/>
      <c r="I16" s="8"/>
    </row>
    <row r="17" spans="1:9">
      <c r="A17" s="134" t="s">
        <v>63</v>
      </c>
      <c r="B17" s="134"/>
      <c r="C17" s="135"/>
      <c r="D17" s="136"/>
      <c r="E17" s="134"/>
      <c r="F17" s="134"/>
      <c r="G17" s="134"/>
      <c r="H17" s="134"/>
      <c r="I17" s="134"/>
    </row>
    <row r="18" spans="1:9">
      <c r="A18" s="5"/>
      <c r="B18" s="5"/>
      <c r="C18" s="33"/>
      <c r="D18" s="6"/>
      <c r="E18" s="49"/>
      <c r="F18" s="49"/>
      <c r="G18" s="49"/>
      <c r="H18" s="49"/>
      <c r="I18" s="49"/>
    </row>
    <row r="19" spans="1:9">
      <c r="A19" s="5"/>
      <c r="B19" s="5" t="s">
        <v>64</v>
      </c>
      <c r="C19" s="33"/>
      <c r="D19" s="6"/>
      <c r="E19" s="49"/>
      <c r="F19" s="49"/>
      <c r="G19" s="49"/>
      <c r="H19" s="49"/>
      <c r="I19" s="49"/>
    </row>
    <row r="20" spans="1:9">
      <c r="A20" s="5"/>
      <c r="B20" s="5"/>
      <c r="C20" s="33"/>
      <c r="D20" s="6"/>
      <c r="E20" s="42" t="s">
        <v>65</v>
      </c>
      <c r="F20" s="8"/>
      <c r="G20" s="7" t="s">
        <v>66</v>
      </c>
      <c r="H20" s="49"/>
      <c r="I20" s="49"/>
    </row>
    <row r="21" spans="1:9">
      <c r="A21" s="5"/>
      <c r="B21" s="5"/>
      <c r="C21" s="33"/>
      <c r="D21" s="6"/>
      <c r="E21" s="7"/>
      <c r="F21" s="8"/>
      <c r="G21" s="8"/>
      <c r="H21" s="49"/>
      <c r="I21" s="49"/>
    </row>
    <row r="22" spans="1:9">
      <c r="A22" s="5"/>
      <c r="B22" s="5"/>
      <c r="C22" s="33"/>
      <c r="D22" s="6"/>
      <c r="E22" s="2" t="s">
        <v>67</v>
      </c>
      <c r="F22" s="8"/>
      <c r="G22" s="7" t="s">
        <v>68</v>
      </c>
      <c r="H22" s="49"/>
      <c r="I22" s="49"/>
    </row>
    <row r="23" spans="1:9">
      <c r="A23" s="5"/>
      <c r="B23" s="5"/>
      <c r="C23" s="33"/>
      <c r="D23" s="6"/>
      <c r="E23" s="7"/>
      <c r="F23" s="8"/>
      <c r="G23" s="7"/>
      <c r="H23" s="49"/>
      <c r="I23" s="49"/>
    </row>
    <row r="24" spans="1:9">
      <c r="A24" s="5"/>
      <c r="B24" s="5"/>
      <c r="C24" s="33"/>
      <c r="D24" s="6"/>
      <c r="E24" s="7" t="s">
        <v>69</v>
      </c>
      <c r="F24" s="8"/>
      <c r="G24" s="49" t="s">
        <v>70</v>
      </c>
      <c r="H24" s="49"/>
      <c r="I24" s="49"/>
    </row>
    <row r="25" spans="1:9">
      <c r="A25" s="5"/>
      <c r="B25" s="5"/>
      <c r="C25" s="33"/>
      <c r="D25" s="6"/>
      <c r="E25" s="7"/>
      <c r="F25" s="8"/>
      <c r="G25" s="49"/>
      <c r="H25" s="49"/>
      <c r="I25" s="49"/>
    </row>
    <row r="26" spans="1:9">
      <c r="A26" s="5"/>
      <c r="B26" s="5" t="s">
        <v>71</v>
      </c>
      <c r="C26" s="33"/>
      <c r="D26" s="6"/>
      <c r="E26" s="7"/>
      <c r="F26" s="8"/>
      <c r="G26" s="7"/>
      <c r="H26" s="49"/>
      <c r="I26" s="49"/>
    </row>
    <row r="27" spans="1:9">
      <c r="A27" s="5"/>
      <c r="B27" s="5"/>
      <c r="C27" s="33"/>
      <c r="D27" s="6"/>
      <c r="E27" s="143" t="s">
        <v>72</v>
      </c>
      <c r="F27" s="8"/>
      <c r="G27" s="7" t="s">
        <v>73</v>
      </c>
      <c r="H27" s="49"/>
      <c r="I27" s="49"/>
    </row>
    <row r="28" spans="1:9">
      <c r="A28" s="5"/>
      <c r="B28" s="5"/>
      <c r="C28" s="33"/>
      <c r="D28" s="6"/>
      <c r="E28" s="7"/>
      <c r="F28" s="8"/>
      <c r="G28" s="7"/>
      <c r="H28" s="49"/>
      <c r="I28" s="49"/>
    </row>
    <row r="29" spans="1:9">
      <c r="A29" s="5"/>
      <c r="B29" s="5"/>
      <c r="C29" s="33"/>
      <c r="D29" s="6"/>
      <c r="E29" s="144" t="s">
        <v>74</v>
      </c>
      <c r="F29" s="8"/>
      <c r="G29" s="7" t="s">
        <v>75</v>
      </c>
      <c r="H29" s="49"/>
      <c r="I29" s="49"/>
    </row>
    <row r="30" spans="1:9">
      <c r="A30" s="5"/>
      <c r="B30" s="5"/>
      <c r="C30" s="33"/>
      <c r="D30" s="6"/>
      <c r="E30" s="7"/>
      <c r="F30" s="8"/>
      <c r="G30" s="49"/>
      <c r="H30" s="49"/>
      <c r="I30" s="49"/>
    </row>
    <row r="31" spans="1:9">
      <c r="A31" s="5"/>
      <c r="B31" s="5"/>
      <c r="C31" s="33"/>
      <c r="D31" s="6"/>
      <c r="E31" s="145" t="s">
        <v>76</v>
      </c>
      <c r="F31" s="8"/>
      <c r="G31" s="7" t="s">
        <v>77</v>
      </c>
      <c r="H31" s="49"/>
      <c r="I31" s="49"/>
    </row>
    <row r="32" spans="1:9">
      <c r="A32" s="5"/>
      <c r="B32" s="5"/>
      <c r="C32" s="33"/>
      <c r="D32" s="6"/>
      <c r="E32" s="7"/>
      <c r="F32" s="8"/>
      <c r="G32" s="7"/>
      <c r="H32" s="49"/>
      <c r="I32" s="49"/>
    </row>
    <row r="33" spans="1:9">
      <c r="A33" s="5"/>
      <c r="B33" s="5"/>
      <c r="C33" s="33"/>
      <c r="D33" s="6"/>
      <c r="E33" s="144" t="s">
        <v>78</v>
      </c>
      <c r="F33" s="8"/>
      <c r="G33" s="7" t="s">
        <v>79</v>
      </c>
      <c r="H33" s="49"/>
      <c r="I33" s="49"/>
    </row>
    <row r="34" spans="1:9">
      <c r="A34" s="5"/>
      <c r="B34" s="5"/>
      <c r="C34" s="33"/>
      <c r="D34" s="6"/>
      <c r="E34" s="8"/>
      <c r="F34" s="8"/>
      <c r="G34" s="7"/>
      <c r="H34" s="49"/>
      <c r="I34" s="49"/>
    </row>
    <row r="35" spans="1:9">
      <c r="A35" s="5"/>
      <c r="B35" s="5" t="s">
        <v>80</v>
      </c>
      <c r="C35" s="33"/>
      <c r="D35" s="6"/>
      <c r="E35" s="7"/>
      <c r="F35" s="8"/>
      <c r="G35" s="7"/>
      <c r="H35" s="49"/>
      <c r="I35" s="49"/>
    </row>
    <row r="36" spans="1:9">
      <c r="A36" s="5"/>
      <c r="B36" s="5"/>
      <c r="C36" s="33"/>
      <c r="D36" s="6"/>
      <c r="E36" s="146" t="s">
        <v>81</v>
      </c>
      <c r="F36" s="8"/>
      <c r="G36" s="7" t="s">
        <v>82</v>
      </c>
      <c r="H36" s="49"/>
      <c r="I36" s="49"/>
    </row>
    <row r="37" spans="1:9">
      <c r="A37" s="5"/>
      <c r="B37" s="5"/>
      <c r="C37" s="33"/>
      <c r="D37" s="6"/>
      <c r="E37" s="49"/>
      <c r="F37" s="8"/>
      <c r="G37" s="7"/>
      <c r="H37" s="49"/>
      <c r="I37" s="49"/>
    </row>
    <row r="38" spans="1:9">
      <c r="A38" s="5"/>
      <c r="B38" s="5"/>
      <c r="C38" s="33"/>
      <c r="D38" s="6"/>
      <c r="E38" s="3" t="s">
        <v>83</v>
      </c>
      <c r="F38" s="7"/>
      <c r="G38" s="8" t="s">
        <v>84</v>
      </c>
      <c r="H38" s="49"/>
      <c r="I38" s="49"/>
    </row>
    <row r="39" spans="1:9">
      <c r="A39" s="5"/>
      <c r="B39" s="5"/>
      <c r="C39" s="33"/>
      <c r="D39" s="6"/>
      <c r="E39" s="7"/>
      <c r="F39" s="8"/>
      <c r="G39" s="7"/>
      <c r="H39" s="49"/>
      <c r="I39" s="49"/>
    </row>
    <row r="40" spans="1:9">
      <c r="A40" s="5"/>
      <c r="B40" s="5"/>
      <c r="C40" s="33"/>
      <c r="D40" s="6"/>
      <c r="E40" s="147" t="s">
        <v>85</v>
      </c>
      <c r="F40" s="8"/>
      <c r="G40" s="7" t="s">
        <v>86</v>
      </c>
      <c r="H40" s="49"/>
      <c r="I40" s="49"/>
    </row>
    <row r="41" spans="1:9">
      <c r="A41" s="5"/>
      <c r="B41" s="5"/>
      <c r="C41" s="33"/>
      <c r="D41" s="6"/>
      <c r="E41" s="49"/>
      <c r="F41" s="8"/>
      <c r="G41" s="7"/>
      <c r="H41" s="49"/>
      <c r="I41" s="49"/>
    </row>
    <row r="42" spans="1:9">
      <c r="A42" s="5"/>
      <c r="B42" s="5"/>
      <c r="C42" s="33"/>
      <c r="D42" s="6"/>
      <c r="E42" s="9" t="s">
        <v>87</v>
      </c>
      <c r="F42" s="8"/>
      <c r="G42" s="7" t="s">
        <v>88</v>
      </c>
      <c r="H42" s="49"/>
      <c r="I42" s="49"/>
    </row>
    <row r="43" spans="1:9">
      <c r="A43" s="13"/>
      <c r="B43" s="148"/>
      <c r="C43" s="10"/>
      <c r="D43" s="11"/>
      <c r="E43" s="49"/>
      <c r="F43" s="8"/>
      <c r="G43" s="8"/>
      <c r="H43" s="8"/>
      <c r="I43" s="8"/>
    </row>
    <row r="44" spans="1:9">
      <c r="A44" s="13"/>
      <c r="B44" s="148"/>
      <c r="C44" s="10"/>
      <c r="D44" s="11"/>
      <c r="E44" s="149" t="s">
        <v>89</v>
      </c>
      <c r="F44" s="8"/>
      <c r="G44" s="7" t="s">
        <v>90</v>
      </c>
      <c r="H44" s="8"/>
      <c r="I44" s="8"/>
    </row>
    <row r="45" spans="1:9">
      <c r="A45" s="13"/>
      <c r="B45" s="148"/>
      <c r="C45" s="10"/>
      <c r="D45" s="11"/>
      <c r="E45" s="49"/>
      <c r="F45" s="8"/>
      <c r="G45" s="8"/>
      <c r="H45" s="8"/>
      <c r="I45" s="8"/>
    </row>
    <row r="46" spans="1:9">
      <c r="A46" s="5"/>
      <c r="B46" s="5" t="s">
        <v>91</v>
      </c>
      <c r="C46" s="33"/>
      <c r="D46" s="6"/>
      <c r="E46" s="7"/>
      <c r="F46" s="8"/>
      <c r="G46" s="7"/>
      <c r="H46" s="49"/>
      <c r="I46" s="49"/>
    </row>
    <row r="47" spans="1:9">
      <c r="A47" s="5"/>
      <c r="B47" s="5"/>
      <c r="C47" s="33"/>
      <c r="D47" s="6"/>
      <c r="E47" s="150" t="s">
        <v>92</v>
      </c>
      <c r="F47" s="8"/>
      <c r="G47" s="7" t="s">
        <v>93</v>
      </c>
      <c r="H47" s="49"/>
      <c r="I47" s="49"/>
    </row>
    <row r="48" spans="1:9">
      <c r="A48" s="5"/>
      <c r="B48" s="5"/>
      <c r="C48" s="33"/>
      <c r="D48" s="6"/>
      <c r="E48" s="49"/>
      <c r="F48" s="8"/>
      <c r="G48" s="7"/>
      <c r="H48" s="49"/>
      <c r="I48" s="49"/>
    </row>
    <row r="49" spans="1:9">
      <c r="A49" s="5"/>
      <c r="B49" s="5"/>
      <c r="C49" s="33"/>
      <c r="D49" s="6"/>
      <c r="E49" s="151" t="s">
        <v>94</v>
      </c>
      <c r="F49" s="8"/>
      <c r="G49" s="7" t="s">
        <v>95</v>
      </c>
      <c r="H49" s="49"/>
      <c r="I49" s="49"/>
    </row>
    <row r="50" spans="1:9">
      <c r="A50" s="5"/>
      <c r="B50" s="5"/>
      <c r="C50" s="33"/>
      <c r="D50" s="6"/>
      <c r="E50" s="7"/>
      <c r="F50" s="8"/>
      <c r="G50" s="7"/>
      <c r="H50" s="49"/>
      <c r="I50" s="49"/>
    </row>
    <row r="51" spans="1:9">
      <c r="A51" s="5"/>
      <c r="B51" s="5"/>
      <c r="C51" s="33"/>
      <c r="D51" s="6"/>
      <c r="E51" s="152" t="s">
        <v>96</v>
      </c>
      <c r="F51" s="8"/>
      <c r="G51" s="7" t="s">
        <v>97</v>
      </c>
      <c r="H51" s="49"/>
      <c r="I51" s="49"/>
    </row>
    <row r="52" spans="1:9">
      <c r="A52" s="5"/>
      <c r="B52" s="5"/>
      <c r="C52" s="33"/>
      <c r="D52" s="6"/>
      <c r="E52" s="49"/>
      <c r="F52" s="49"/>
      <c r="G52" s="49"/>
      <c r="H52" s="49"/>
      <c r="I52" s="49"/>
    </row>
    <row r="53" spans="1:9">
      <c r="A53" s="13"/>
      <c r="B53" s="13"/>
      <c r="C53" s="12"/>
      <c r="D53" s="8"/>
      <c r="E53" s="8"/>
      <c r="F53" s="8"/>
      <c r="G53" s="8"/>
      <c r="H53" s="8"/>
      <c r="I53" s="8"/>
    </row>
    <row r="54" spans="1:9" s="1" customFormat="1">
      <c r="A54" s="14" t="s">
        <v>51</v>
      </c>
    </row>
    <row r="55" spans="1:9"/>
    <row r="56" spans="1:9"/>
  </sheetData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99"/>
    <outlinePr summaryBelow="0" summaryRight="0"/>
  </sheetPr>
  <dimension ref="A1:CD487"/>
  <sheetViews>
    <sheetView zoomScale="85" zoomScaleNormal="85" workbookViewId="0">
      <pane xSplit="9" ySplit="7" topLeftCell="J275" activePane="bottomRight" state="frozen"/>
      <selection pane="topRight" sqref="A1:XFD1"/>
      <selection pane="bottomLeft" sqref="A1:XFD1"/>
      <selection pane="bottomRight" activeCell="H189" sqref="H189"/>
    </sheetView>
  </sheetViews>
  <sheetFormatPr defaultColWidth="0" defaultRowHeight="13.2" zeroHeight="1"/>
  <cols>
    <col min="1" max="1" width="1.21875" style="13" customWidth="1"/>
    <col min="2" max="2" width="1.21875" style="10" customWidth="1"/>
    <col min="3" max="3" width="1.21875" style="116" customWidth="1"/>
    <col min="4" max="4" width="1.21875" style="11" customWidth="1"/>
    <col min="5" max="5" width="83.77734375" style="8" customWidth="1"/>
    <col min="6" max="6" width="12.77734375" style="8" customWidth="1"/>
    <col min="7" max="7" width="11.21875" style="8" bestFit="1" customWidth="1"/>
    <col min="8" max="8" width="25.21875" style="8" bestFit="1" customWidth="1"/>
    <col min="9" max="9" width="2.77734375" style="8" customWidth="1"/>
    <col min="10" max="17" width="9.77734375" style="8" bestFit="1" customWidth="1"/>
    <col min="18" max="19" width="10.21875" style="8" bestFit="1" customWidth="1"/>
    <col min="20" max="82" width="11.77734375" style="8" hidden="1" customWidth="1"/>
    <col min="83" max="16384" width="9.21875" style="8" hidden="1"/>
  </cols>
  <sheetData>
    <row r="1" spans="1:82" s="121" customFormat="1" ht="25.2">
      <c r="A1" s="117" t="str">
        <f ca="1" xml:space="preserve"> RIGHT(CELL("filename", $A$1), LEN(CELL("filename", $A$1)) - SEARCH("]", CELL("filename", $A$1)))</f>
        <v>Inputs</v>
      </c>
      <c r="C1" s="132"/>
    </row>
    <row r="2" spans="1:82" s="27" customFormat="1">
      <c r="A2" s="65"/>
      <c r="B2" s="61"/>
      <c r="C2" s="112"/>
      <c r="D2" s="56"/>
      <c r="E2" s="27" t="str">
        <f>Time!E$21</f>
        <v>Model Period BEG</v>
      </c>
      <c r="F2" s="32">
        <f xml:space="preserve"> Checks!$F$9</f>
        <v>0</v>
      </c>
      <c r="G2" s="8" t="s">
        <v>98</v>
      </c>
      <c r="J2" s="27">
        <f>Time!J$21</f>
        <v>43191</v>
      </c>
      <c r="K2" s="27">
        <f>Time!K$21</f>
        <v>43556</v>
      </c>
      <c r="L2" s="27">
        <f>Time!L$21</f>
        <v>43922</v>
      </c>
      <c r="M2" s="27">
        <f>Time!M$21</f>
        <v>44287</v>
      </c>
      <c r="N2" s="27">
        <f>Time!N$21</f>
        <v>44652</v>
      </c>
      <c r="O2" s="27">
        <f>Time!O$21</f>
        <v>45017</v>
      </c>
      <c r="P2" s="27">
        <f>Time!P$21</f>
        <v>45383</v>
      </c>
      <c r="Q2" s="27">
        <f>Time!Q$21</f>
        <v>45748</v>
      </c>
      <c r="R2" s="27">
        <f>Time!R$21</f>
        <v>46113</v>
      </c>
      <c r="S2" s="27">
        <f>Time!S$21</f>
        <v>46478</v>
      </c>
    </row>
    <row r="3" spans="1:82" s="31" customFormat="1">
      <c r="A3" s="65"/>
      <c r="B3" s="61"/>
      <c r="C3" s="112"/>
      <c r="D3" s="56"/>
      <c r="E3" s="27" t="str">
        <f>Time!E$22</f>
        <v>Model Period END</v>
      </c>
      <c r="F3" s="27"/>
      <c r="G3" s="27"/>
      <c r="H3" s="27"/>
      <c r="I3" s="27"/>
      <c r="J3" s="27">
        <f>Time!J$22</f>
        <v>43555</v>
      </c>
      <c r="K3" s="27">
        <f>Time!K$22</f>
        <v>43921</v>
      </c>
      <c r="L3" s="27">
        <f>Time!L$22</f>
        <v>44286</v>
      </c>
      <c r="M3" s="27">
        <f>Time!M$22</f>
        <v>44651</v>
      </c>
      <c r="N3" s="27">
        <f>Time!N$22</f>
        <v>45016</v>
      </c>
      <c r="O3" s="27">
        <f>Time!O$22</f>
        <v>45382</v>
      </c>
      <c r="P3" s="27">
        <f>Time!P$22</f>
        <v>45747</v>
      </c>
      <c r="Q3" s="27">
        <f>Time!Q$22</f>
        <v>46112</v>
      </c>
      <c r="R3" s="27">
        <f>Time!R$22</f>
        <v>46477</v>
      </c>
      <c r="S3" s="27">
        <f>Time!S$22</f>
        <v>46843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</row>
    <row r="4" spans="1:82" s="5" customFormat="1">
      <c r="A4" s="53"/>
      <c r="B4" s="62"/>
      <c r="C4" s="113"/>
      <c r="D4" s="57"/>
      <c r="E4" s="27" t="str">
        <f>Time!E$58</f>
        <v>Pre Forecast vs Forecast</v>
      </c>
      <c r="F4" s="27"/>
      <c r="G4" s="27"/>
      <c r="H4" s="27"/>
      <c r="I4" s="27"/>
      <c r="J4" s="27" t="str">
        <f>Time!J$58</f>
        <v>Pre Fcst</v>
      </c>
      <c r="K4" s="27" t="str">
        <f>Time!K$58</f>
        <v>Pre Fcst</v>
      </c>
      <c r="L4" s="27" t="str">
        <f>Time!L$58</f>
        <v>Forecast</v>
      </c>
      <c r="M4" s="27" t="str">
        <f>Time!M$58</f>
        <v>Forecast</v>
      </c>
      <c r="N4" s="27" t="str">
        <f>Time!N$58</f>
        <v>Forecast</v>
      </c>
      <c r="O4" s="27" t="str">
        <f>Time!O$58</f>
        <v>Forecast</v>
      </c>
      <c r="P4" s="27" t="str">
        <f>Time!P$58</f>
        <v>Forecast</v>
      </c>
      <c r="Q4" s="27" t="str">
        <f>Time!Q$58</f>
        <v>Post-Fcst</v>
      </c>
      <c r="R4" s="27" t="str">
        <f>Time!R$58</f>
        <v>Post-Fcst</v>
      </c>
      <c r="S4" s="27" t="str">
        <f>Time!S$58</f>
        <v>Post-Fcst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</row>
    <row r="5" spans="1:82" s="28" customFormat="1">
      <c r="A5" s="66"/>
      <c r="B5" s="63"/>
      <c r="C5" s="114"/>
      <c r="D5" s="58"/>
      <c r="E5" s="26" t="str">
        <f>Time!E$86</f>
        <v>Financial Year Ending</v>
      </c>
      <c r="F5" s="26"/>
      <c r="G5" s="26"/>
      <c r="H5" s="26"/>
      <c r="I5" s="26"/>
      <c r="J5" s="299">
        <f>Time!J$86</f>
        <v>2018</v>
      </c>
      <c r="K5" s="299">
        <f>Time!K$86</f>
        <v>2019</v>
      </c>
      <c r="L5" s="299">
        <f>Time!L$86</f>
        <v>2020</v>
      </c>
      <c r="M5" s="299">
        <f>Time!M$86</f>
        <v>2021</v>
      </c>
      <c r="N5" s="299">
        <f>Time!N$86</f>
        <v>2022</v>
      </c>
      <c r="O5" s="299">
        <f>Time!O$86</f>
        <v>2023</v>
      </c>
      <c r="P5" s="299">
        <f>Time!P$86</f>
        <v>2024</v>
      </c>
      <c r="Q5" s="299">
        <f>Time!Q$86</f>
        <v>2025</v>
      </c>
      <c r="R5" s="299">
        <f>Time!R$86</f>
        <v>2026</v>
      </c>
      <c r="S5" s="299">
        <f>Time!S$86</f>
        <v>2027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</row>
    <row r="6" spans="1:82" s="28" customFormat="1">
      <c r="A6" s="66"/>
      <c r="B6" s="63"/>
      <c r="C6" s="114"/>
      <c r="D6" s="58"/>
      <c r="E6" s="26" t="str">
        <f>Time!E$10</f>
        <v>Model column counter</v>
      </c>
      <c r="F6" s="26"/>
      <c r="G6" s="26"/>
      <c r="H6" s="26"/>
      <c r="I6" s="26"/>
      <c r="J6" s="26">
        <f>Time!J$10</f>
        <v>1</v>
      </c>
      <c r="K6" s="26">
        <f>Time!K$10</f>
        <v>2</v>
      </c>
      <c r="L6" s="26">
        <f>Time!L$10</f>
        <v>3</v>
      </c>
      <c r="M6" s="26">
        <f>Time!M$10</f>
        <v>4</v>
      </c>
      <c r="N6" s="26">
        <f>Time!N$10</f>
        <v>5</v>
      </c>
      <c r="O6" s="26">
        <f>Time!O$10</f>
        <v>6</v>
      </c>
      <c r="P6" s="26">
        <f>Time!P$10</f>
        <v>7</v>
      </c>
      <c r="Q6" s="26">
        <f>Time!Q$10</f>
        <v>8</v>
      </c>
      <c r="R6" s="26">
        <f>Time!R$10</f>
        <v>9</v>
      </c>
      <c r="S6" s="26">
        <f>Time!S$10</f>
        <v>10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</row>
    <row r="7" spans="1:82" s="30" customFormat="1">
      <c r="A7" s="53"/>
      <c r="B7" s="62"/>
      <c r="C7" s="113"/>
      <c r="D7" s="57"/>
      <c r="E7" s="33"/>
      <c r="F7" s="33" t="s">
        <v>99</v>
      </c>
      <c r="G7" s="33" t="s">
        <v>100</v>
      </c>
      <c r="H7" s="33" t="s">
        <v>101</v>
      </c>
      <c r="I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</row>
    <row r="8" spans="1:82" ht="13.8">
      <c r="A8" s="21" t="s">
        <v>102</v>
      </c>
      <c r="B8" s="104"/>
      <c r="C8" s="104"/>
      <c r="D8" s="104"/>
      <c r="E8" s="96"/>
      <c r="F8" s="104"/>
      <c r="G8" s="105"/>
    </row>
    <row r="9" spans="1:82">
      <c r="C9" s="10"/>
      <c r="E9" s="95"/>
    </row>
    <row r="10" spans="1:82">
      <c r="C10" s="10"/>
      <c r="E10" s="95" t="s">
        <v>103</v>
      </c>
      <c r="F10" s="184">
        <v>43191</v>
      </c>
      <c r="G10" s="25" t="s">
        <v>104</v>
      </c>
    </row>
    <row r="11" spans="1:82">
      <c r="C11" s="10"/>
      <c r="E11" s="95" t="s">
        <v>105</v>
      </c>
      <c r="F11" s="184">
        <v>43921</v>
      </c>
      <c r="G11" s="25" t="s">
        <v>104</v>
      </c>
    </row>
    <row r="12" spans="1:82">
      <c r="C12" s="10"/>
      <c r="E12" s="95" t="s">
        <v>106</v>
      </c>
      <c r="F12" s="184">
        <v>43921</v>
      </c>
      <c r="G12" s="25" t="s">
        <v>104</v>
      </c>
    </row>
    <row r="13" spans="1:82">
      <c r="C13" s="10"/>
      <c r="E13" s="96" t="s">
        <v>107</v>
      </c>
      <c r="F13" s="184">
        <v>45747</v>
      </c>
      <c r="G13" s="23" t="s">
        <v>104</v>
      </c>
    </row>
    <row r="14" spans="1:82">
      <c r="C14" s="10"/>
      <c r="E14" s="95" t="s">
        <v>108</v>
      </c>
      <c r="F14" s="184">
        <v>45747</v>
      </c>
      <c r="G14" s="8" t="s">
        <v>104</v>
      </c>
    </row>
    <row r="15" spans="1:82">
      <c r="C15" s="10"/>
      <c r="E15" s="95" t="s">
        <v>109</v>
      </c>
      <c r="F15" s="301">
        <v>2018</v>
      </c>
      <c r="G15" s="8" t="s">
        <v>110</v>
      </c>
    </row>
    <row r="16" spans="1:82">
      <c r="C16" s="10"/>
      <c r="E16" s="95" t="s">
        <v>111</v>
      </c>
      <c r="F16" s="185">
        <v>3</v>
      </c>
      <c r="G16" s="8" t="s">
        <v>112</v>
      </c>
    </row>
    <row r="17" spans="1:16">
      <c r="C17" s="10"/>
      <c r="E17" s="95"/>
    </row>
    <row r="18" spans="1:16" ht="13.8">
      <c r="A18" s="21" t="s">
        <v>113</v>
      </c>
      <c r="B18" s="104"/>
      <c r="C18" s="104"/>
      <c r="D18" s="104"/>
      <c r="E18" s="96"/>
      <c r="G18" s="105"/>
    </row>
    <row r="19" spans="1:16" ht="13.8">
      <c r="A19" s="21"/>
      <c r="B19" s="104"/>
      <c r="C19" s="104"/>
      <c r="D19" s="104"/>
      <c r="E19" s="96"/>
      <c r="G19" s="105"/>
    </row>
    <row r="20" spans="1:16" ht="13.8">
      <c r="A20" s="21"/>
      <c r="B20" s="104"/>
      <c r="C20" s="104"/>
      <c r="D20" s="104"/>
      <c r="E20" s="96" t="s">
        <v>114</v>
      </c>
      <c r="F20" s="186">
        <v>1E-3</v>
      </c>
      <c r="G20" s="105" t="s">
        <v>115</v>
      </c>
    </row>
    <row r="21" spans="1:16" ht="13.8">
      <c r="A21" s="21"/>
      <c r="B21" s="104"/>
      <c r="C21" s="104"/>
      <c r="D21" s="104"/>
      <c r="E21" s="96" t="s">
        <v>116</v>
      </c>
      <c r="F21" s="186">
        <v>1E-3</v>
      </c>
      <c r="G21" s="105" t="s">
        <v>115</v>
      </c>
    </row>
    <row r="22" spans="1:16" ht="13.8">
      <c r="A22" s="21"/>
      <c r="B22" s="104"/>
      <c r="C22" s="104"/>
      <c r="D22" s="104"/>
      <c r="E22" s="96"/>
      <c r="F22" s="96"/>
      <c r="G22" s="105"/>
    </row>
    <row r="23" spans="1:16">
      <c r="A23" s="13" t="s">
        <v>117</v>
      </c>
      <c r="C23" s="10"/>
      <c r="E23" s="95"/>
    </row>
    <row r="24" spans="1:16">
      <c r="C24" s="10"/>
      <c r="E24" s="95"/>
    </row>
    <row r="25" spans="1:16" ht="15.6">
      <c r="A25" s="169"/>
      <c r="B25" s="170"/>
      <c r="C25" s="170"/>
      <c r="D25" s="170"/>
      <c r="E25" s="161" t="s">
        <v>118</v>
      </c>
      <c r="F25" s="162">
        <v>2.9195763820156317E-2</v>
      </c>
      <c r="G25" s="161" t="s">
        <v>119</v>
      </c>
    </row>
    <row r="26" spans="1:16">
      <c r="A26" s="177"/>
      <c r="B26" s="178"/>
      <c r="C26" s="178"/>
      <c r="D26" s="179"/>
      <c r="E26" s="161" t="s">
        <v>120</v>
      </c>
      <c r="F26" s="162">
        <v>2.9195763820156317E-2</v>
      </c>
      <c r="G26" s="161" t="s">
        <v>119</v>
      </c>
    </row>
    <row r="27" spans="1:16">
      <c r="A27" s="177"/>
      <c r="B27" s="178"/>
      <c r="C27" s="178"/>
      <c r="D27" s="179"/>
      <c r="E27" s="161" t="s">
        <v>121</v>
      </c>
      <c r="F27" s="162">
        <v>2.9195763820156317E-2</v>
      </c>
      <c r="G27" s="161" t="s">
        <v>119</v>
      </c>
    </row>
    <row r="28" spans="1:16">
      <c r="A28" s="177"/>
      <c r="B28" s="178"/>
      <c r="C28" s="178"/>
      <c r="D28" s="179"/>
      <c r="E28" s="161" t="s">
        <v>122</v>
      </c>
      <c r="F28" s="162">
        <v>2.9195763820156317E-2</v>
      </c>
      <c r="G28" s="161" t="s">
        <v>119</v>
      </c>
    </row>
    <row r="29" spans="1:16">
      <c r="A29" s="177"/>
      <c r="B29" s="178"/>
      <c r="C29" s="178"/>
      <c r="D29" s="179"/>
      <c r="E29" s="161" t="s">
        <v>123</v>
      </c>
      <c r="F29" s="162">
        <v>2.9195763820156317E-2</v>
      </c>
      <c r="G29" s="161" t="s">
        <v>119</v>
      </c>
    </row>
    <row r="30" spans="1:16"/>
    <row r="31" spans="1:16" s="50" customFormat="1">
      <c r="A31" s="133"/>
      <c r="B31" s="180"/>
      <c r="C31" s="181"/>
      <c r="D31" s="182"/>
      <c r="E31" s="50" t="s">
        <v>124</v>
      </c>
      <c r="G31" s="50" t="s">
        <v>125</v>
      </c>
      <c r="J31" s="183"/>
      <c r="K31" s="183"/>
      <c r="L31" s="183">
        <v>4</v>
      </c>
      <c r="M31" s="183">
        <v>3</v>
      </c>
      <c r="N31" s="183">
        <v>2</v>
      </c>
      <c r="O31" s="183">
        <v>1</v>
      </c>
      <c r="P31" s="183">
        <v>0</v>
      </c>
    </row>
    <row r="32" spans="1:16"/>
    <row r="33" spans="1:19">
      <c r="A33" s="13" t="s">
        <v>126</v>
      </c>
    </row>
    <row r="34" spans="1:19">
      <c r="E34" s="8" t="s">
        <v>127</v>
      </c>
    </row>
    <row r="35" spans="1:19">
      <c r="E35" s="8" t="s">
        <v>128</v>
      </c>
      <c r="G35" s="8" t="s">
        <v>129</v>
      </c>
      <c r="H35" s="8">
        <f>SUM(J35:R35)</f>
        <v>0</v>
      </c>
      <c r="L35" s="183"/>
      <c r="M35" s="183"/>
      <c r="N35" s="183"/>
      <c r="O35" s="183"/>
      <c r="P35" s="183"/>
    </row>
    <row r="36" spans="1:19">
      <c r="E36" s="8" t="s">
        <v>130</v>
      </c>
      <c r="G36" s="8" t="s">
        <v>129</v>
      </c>
      <c r="H36" s="8">
        <f>SUM(J36:R36)</f>
        <v>0</v>
      </c>
      <c r="L36" s="183"/>
      <c r="M36" s="183"/>
      <c r="N36" s="183"/>
      <c r="O36" s="183"/>
      <c r="P36" s="183"/>
    </row>
    <row r="37" spans="1:19">
      <c r="E37" s="8" t="s">
        <v>131</v>
      </c>
      <c r="G37" s="8" t="s">
        <v>129</v>
      </c>
      <c r="H37" s="8">
        <f>SUM(J37:R37)</f>
        <v>0</v>
      </c>
      <c r="L37" s="183"/>
      <c r="M37" s="183"/>
      <c r="N37" s="183"/>
      <c r="O37" s="183"/>
      <c r="P37" s="183"/>
    </row>
    <row r="38" spans="1:19">
      <c r="E38" s="8" t="s">
        <v>132</v>
      </c>
      <c r="G38" s="8" t="s">
        <v>129</v>
      </c>
      <c r="H38" s="8">
        <f>SUM(J38:R38)</f>
        <v>0</v>
      </c>
      <c r="L38" s="183"/>
      <c r="M38" s="183"/>
      <c r="N38" s="183"/>
      <c r="O38" s="183"/>
      <c r="P38" s="183"/>
    </row>
    <row r="39" spans="1:19">
      <c r="E39" s="8" t="s">
        <v>133</v>
      </c>
      <c r="G39" s="8" t="s">
        <v>129</v>
      </c>
      <c r="H39" s="8">
        <f>SUM(J39:R39)</f>
        <v>0</v>
      </c>
      <c r="L39" s="183"/>
      <c r="M39" s="183"/>
      <c r="N39" s="183"/>
      <c r="O39" s="183"/>
      <c r="P39" s="183"/>
    </row>
    <row r="40" spans="1:19"/>
    <row r="41" spans="1:19">
      <c r="A41" s="13" t="s">
        <v>134</v>
      </c>
      <c r="B41" s="64"/>
      <c r="C41" s="115"/>
      <c r="D41" s="59"/>
    </row>
    <row r="42" spans="1:19">
      <c r="B42" s="64"/>
      <c r="C42" s="115"/>
      <c r="D42" s="59"/>
    </row>
    <row r="43" spans="1:19">
      <c r="B43" s="64"/>
      <c r="C43" s="115"/>
      <c r="D43" s="59"/>
      <c r="E43" s="157" t="s">
        <v>307</v>
      </c>
      <c r="F43" s="153">
        <v>0</v>
      </c>
      <c r="G43" s="153" t="s">
        <v>129</v>
      </c>
      <c r="H43" s="153">
        <v>9.5374348864663112</v>
      </c>
      <c r="I43" s="153">
        <v>0</v>
      </c>
      <c r="J43" s="153">
        <v>0</v>
      </c>
      <c r="K43" s="153">
        <v>0</v>
      </c>
      <c r="L43" s="153">
        <v>1.5404811939049154</v>
      </c>
      <c r="M43" s="153">
        <v>1.8486445830706861</v>
      </c>
      <c r="N43" s="153">
        <v>1.8545952566945054</v>
      </c>
      <c r="O43" s="153">
        <v>1.9762038542161282</v>
      </c>
      <c r="P43" s="153">
        <v>2.3175099985800767</v>
      </c>
      <c r="Q43" s="153">
        <v>0</v>
      </c>
      <c r="R43" s="153">
        <v>0</v>
      </c>
      <c r="S43" s="153">
        <v>0</v>
      </c>
    </row>
    <row r="44" spans="1:19">
      <c r="B44" s="64"/>
      <c r="C44" s="115"/>
      <c r="D44" s="59"/>
      <c r="E44" s="153" t="s">
        <v>308</v>
      </c>
      <c r="F44" s="153">
        <v>0</v>
      </c>
      <c r="G44" s="153" t="s">
        <v>129</v>
      </c>
      <c r="H44" s="153">
        <v>76.921444130660348</v>
      </c>
      <c r="I44" s="153">
        <v>0</v>
      </c>
      <c r="J44" s="153">
        <v>0</v>
      </c>
      <c r="K44" s="153">
        <v>0</v>
      </c>
      <c r="L44" s="153">
        <v>12.177126500611541</v>
      </c>
      <c r="M44" s="153">
        <v>13.599701491423064</v>
      </c>
      <c r="N44" s="153">
        <v>14.458389356724092</v>
      </c>
      <c r="O44" s="153">
        <v>17.017370831840324</v>
      </c>
      <c r="P44" s="153">
        <v>19.668855950061321</v>
      </c>
      <c r="Q44" s="153">
        <v>0</v>
      </c>
      <c r="R44" s="153">
        <v>0</v>
      </c>
      <c r="S44" s="153">
        <v>0</v>
      </c>
    </row>
    <row r="45" spans="1:19">
      <c r="B45" s="64"/>
      <c r="C45" s="115"/>
      <c r="D45" s="59"/>
      <c r="E45" s="153" t="s">
        <v>309</v>
      </c>
      <c r="F45" s="153">
        <v>0</v>
      </c>
      <c r="G45" s="153" t="s">
        <v>129</v>
      </c>
      <c r="H45" s="153">
        <v>106.93305961760599</v>
      </c>
      <c r="I45" s="153">
        <v>0</v>
      </c>
      <c r="J45" s="153">
        <v>0</v>
      </c>
      <c r="K45" s="153">
        <v>0</v>
      </c>
      <c r="L45" s="153">
        <v>20.901302782585084</v>
      </c>
      <c r="M45" s="153">
        <v>20.438783385729554</v>
      </c>
      <c r="N45" s="153">
        <v>22.780014153949708</v>
      </c>
      <c r="O45" s="153">
        <v>20.704574718699376</v>
      </c>
      <c r="P45" s="153">
        <v>22.108384576642262</v>
      </c>
      <c r="Q45" s="153">
        <v>0</v>
      </c>
      <c r="R45" s="153">
        <v>0</v>
      </c>
      <c r="S45" s="153">
        <v>0</v>
      </c>
    </row>
    <row r="46" spans="1:19">
      <c r="B46" s="64"/>
      <c r="C46" s="115"/>
      <c r="D46" s="59"/>
      <c r="E46" s="153" t="s">
        <v>310</v>
      </c>
      <c r="F46" s="153">
        <v>0</v>
      </c>
      <c r="G46" s="153" t="s">
        <v>129</v>
      </c>
      <c r="H46" s="153">
        <v>17.948444727812358</v>
      </c>
      <c r="I46" s="153">
        <v>0</v>
      </c>
      <c r="J46" s="153">
        <v>0</v>
      </c>
      <c r="K46" s="153">
        <v>0</v>
      </c>
      <c r="L46" s="153">
        <v>3.0036991449634169</v>
      </c>
      <c r="M46" s="153">
        <v>3.1270736658159302</v>
      </c>
      <c r="N46" s="153">
        <v>3.4856855541498515</v>
      </c>
      <c r="O46" s="153">
        <v>3.9673982617536954</v>
      </c>
      <c r="P46" s="153">
        <v>4.3645881011294652</v>
      </c>
      <c r="Q46" s="153">
        <v>0</v>
      </c>
      <c r="R46" s="153">
        <v>0</v>
      </c>
      <c r="S46" s="153">
        <v>0</v>
      </c>
    </row>
    <row r="47" spans="1:19">
      <c r="B47" s="64"/>
      <c r="C47" s="115"/>
      <c r="D47" s="59"/>
      <c r="E47" s="153" t="s">
        <v>311</v>
      </c>
      <c r="F47" s="153">
        <v>0</v>
      </c>
      <c r="G47" s="153" t="s">
        <v>129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</row>
    <row r="48" spans="1:19">
      <c r="B48" s="64"/>
      <c r="C48" s="115"/>
      <c r="D48" s="59"/>
    </row>
    <row r="49" spans="2:19">
      <c r="B49" s="64"/>
      <c r="C49" s="115"/>
      <c r="D49" s="59"/>
      <c r="E49" s="153" t="s">
        <v>312</v>
      </c>
      <c r="F49" s="153">
        <v>0</v>
      </c>
      <c r="G49" s="153" t="s">
        <v>129</v>
      </c>
      <c r="H49" s="153">
        <v>688.8749782359572</v>
      </c>
      <c r="I49" s="153">
        <v>0</v>
      </c>
      <c r="J49" s="153">
        <v>0</v>
      </c>
      <c r="K49" s="153">
        <v>0</v>
      </c>
      <c r="L49" s="153">
        <v>99.123752218533681</v>
      </c>
      <c r="M49" s="153">
        <v>100.19246536781438</v>
      </c>
      <c r="N49" s="153">
        <v>101.73206168246328</v>
      </c>
      <c r="O49" s="153">
        <v>106.89796090075956</v>
      </c>
      <c r="P49" s="153">
        <v>114.2757909028129</v>
      </c>
      <c r="Q49" s="153">
        <v>35.383295572084961</v>
      </c>
      <c r="R49" s="153">
        <v>34.876323472310339</v>
      </c>
      <c r="S49" s="153">
        <v>33.284952333922412</v>
      </c>
    </row>
    <row r="50" spans="2:19">
      <c r="B50" s="64"/>
      <c r="C50" s="115"/>
      <c r="D50" s="59"/>
      <c r="E50" s="153" t="s">
        <v>313</v>
      </c>
      <c r="F50" s="153">
        <v>0</v>
      </c>
      <c r="G50" s="153" t="s">
        <v>129</v>
      </c>
      <c r="H50" s="153">
        <v>4121.1149451102438</v>
      </c>
      <c r="I50" s="153">
        <v>0</v>
      </c>
      <c r="J50" s="153">
        <v>0</v>
      </c>
      <c r="K50" s="153">
        <v>0</v>
      </c>
      <c r="L50" s="153">
        <v>587.96615580489618</v>
      </c>
      <c r="M50" s="153">
        <v>593.30120162947719</v>
      </c>
      <c r="N50" s="153">
        <v>592.89074853636077</v>
      </c>
      <c r="O50" s="153">
        <v>604.77039178290636</v>
      </c>
      <c r="P50" s="153">
        <v>599.05257465556053</v>
      </c>
      <c r="Q50" s="153">
        <v>251.59409795987349</v>
      </c>
      <c r="R50" s="153">
        <v>238.27451560645642</v>
      </c>
      <c r="S50" s="153">
        <v>227.30281774426447</v>
      </c>
    </row>
    <row r="51" spans="2:19">
      <c r="B51" s="64"/>
      <c r="C51" s="115"/>
      <c r="D51" s="59"/>
      <c r="E51" s="153" t="s">
        <v>314</v>
      </c>
      <c r="F51" s="153">
        <v>0</v>
      </c>
      <c r="G51" s="153" t="s">
        <v>129</v>
      </c>
      <c r="H51" s="153">
        <v>5857.6740963859183</v>
      </c>
      <c r="I51" s="153">
        <v>0</v>
      </c>
      <c r="J51" s="153">
        <v>0</v>
      </c>
      <c r="K51" s="153">
        <v>0</v>
      </c>
      <c r="L51" s="153">
        <v>764.74186566593892</v>
      </c>
      <c r="M51" s="153">
        <v>751.48338271462467</v>
      </c>
      <c r="N51" s="153">
        <v>750.03760036760536</v>
      </c>
      <c r="O51" s="153">
        <v>757.0723448548282</v>
      </c>
      <c r="P51" s="153">
        <v>763.83111357861662</v>
      </c>
      <c r="Q51" s="153">
        <v>446.41099966335156</v>
      </c>
      <c r="R51" s="153">
        <v>430.26228007439397</v>
      </c>
      <c r="S51" s="153">
        <v>414.25557952067106</v>
      </c>
    </row>
    <row r="52" spans="2:19">
      <c r="B52" s="64"/>
      <c r="C52" s="115"/>
      <c r="D52" s="59"/>
      <c r="E52" s="153" t="s">
        <v>315</v>
      </c>
      <c r="F52" s="153">
        <v>0</v>
      </c>
      <c r="G52" s="153" t="s">
        <v>129</v>
      </c>
      <c r="H52" s="153">
        <v>701.59225821777375</v>
      </c>
      <c r="I52" s="153">
        <v>0</v>
      </c>
      <c r="J52" s="153">
        <v>0</v>
      </c>
      <c r="K52" s="153">
        <v>0</v>
      </c>
      <c r="L52" s="153">
        <v>91.814909120986897</v>
      </c>
      <c r="M52" s="153">
        <v>92.903165608942544</v>
      </c>
      <c r="N52" s="153">
        <v>94.655116895032535</v>
      </c>
      <c r="O52" s="153">
        <v>95.957195156410464</v>
      </c>
      <c r="P52" s="153">
        <v>97.465218995484904</v>
      </c>
      <c r="Q52" s="153">
        <v>52.975639225898284</v>
      </c>
      <c r="R52" s="153">
        <v>48.938556300785436</v>
      </c>
      <c r="S52" s="153">
        <v>45.495610069135942</v>
      </c>
    </row>
    <row r="53" spans="2:19">
      <c r="B53" s="64"/>
      <c r="C53" s="115"/>
      <c r="D53" s="59"/>
      <c r="E53" s="153" t="s">
        <v>316</v>
      </c>
      <c r="F53" s="153">
        <v>0</v>
      </c>
      <c r="G53" s="153" t="s">
        <v>129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</row>
    <row r="54" spans="2:19">
      <c r="B54" s="64"/>
      <c r="C54" s="115"/>
      <c r="D54" s="59"/>
    </row>
    <row r="55" spans="2:19">
      <c r="B55" s="64"/>
      <c r="C55" s="115"/>
      <c r="D55" s="59"/>
      <c r="E55" s="154" t="s">
        <v>248</v>
      </c>
      <c r="F55" s="154">
        <v>0.18</v>
      </c>
      <c r="G55" s="154" t="s">
        <v>119</v>
      </c>
    </row>
    <row r="56" spans="2:19">
      <c r="B56" s="64"/>
      <c r="C56" s="115"/>
      <c r="D56" s="59"/>
      <c r="E56" s="154" t="s">
        <v>249</v>
      </c>
      <c r="F56" s="154">
        <v>0.06</v>
      </c>
      <c r="G56" s="154" t="s">
        <v>119</v>
      </c>
    </row>
    <row r="57" spans="2:19">
      <c r="B57" s="64"/>
      <c r="C57" s="115"/>
      <c r="D57" s="59"/>
      <c r="E57" s="154" t="s">
        <v>250</v>
      </c>
      <c r="F57" s="154">
        <v>0.02</v>
      </c>
      <c r="G57" s="154" t="s">
        <v>119</v>
      </c>
    </row>
    <row r="58" spans="2:19">
      <c r="B58" s="64"/>
      <c r="C58" s="115"/>
      <c r="D58" s="59"/>
    </row>
    <row r="59" spans="2:19">
      <c r="B59" s="64"/>
      <c r="C59" s="115"/>
      <c r="D59" s="59"/>
      <c r="E59" s="154" t="s">
        <v>317</v>
      </c>
      <c r="F59" s="154" t="s">
        <v>318</v>
      </c>
      <c r="G59" s="154" t="s">
        <v>119</v>
      </c>
      <c r="H59" s="154">
        <v>0</v>
      </c>
      <c r="I59" s="154">
        <v>0</v>
      </c>
      <c r="J59" s="154">
        <v>0</v>
      </c>
      <c r="K59" s="154">
        <v>0</v>
      </c>
      <c r="L59" s="154">
        <v>0.17</v>
      </c>
      <c r="M59" s="154">
        <v>0.17</v>
      </c>
      <c r="N59" s="154">
        <v>0.17</v>
      </c>
      <c r="O59" s="154">
        <v>0.17</v>
      </c>
      <c r="P59" s="154">
        <v>0.17</v>
      </c>
      <c r="Q59" s="154">
        <v>0</v>
      </c>
      <c r="R59" s="154">
        <v>0</v>
      </c>
      <c r="S59" s="154">
        <v>0</v>
      </c>
    </row>
    <row r="60" spans="2:19">
      <c r="B60" s="64"/>
      <c r="C60" s="115"/>
      <c r="D60" s="59"/>
    </row>
    <row r="61" spans="2:19">
      <c r="B61" s="64"/>
      <c r="C61" s="115"/>
      <c r="D61" s="59"/>
      <c r="E61" s="302" t="s">
        <v>332</v>
      </c>
      <c r="F61" s="302">
        <v>0</v>
      </c>
      <c r="G61" s="302" t="s">
        <v>119</v>
      </c>
      <c r="H61" s="302">
        <v>0</v>
      </c>
      <c r="I61" s="302">
        <v>0</v>
      </c>
      <c r="J61" s="302">
        <v>0</v>
      </c>
      <c r="K61" s="302">
        <v>0</v>
      </c>
      <c r="L61" s="302">
        <v>1.1490003519418313E-2</v>
      </c>
      <c r="M61" s="302">
        <v>1.1490003519418313E-2</v>
      </c>
      <c r="N61" s="302">
        <v>1.1490003519418313E-2</v>
      </c>
      <c r="O61" s="302">
        <v>1.1490003519418313E-2</v>
      </c>
      <c r="P61" s="302">
        <v>1.1490003519418313E-2</v>
      </c>
      <c r="Q61" s="302">
        <v>1.1490003519418313E-2</v>
      </c>
      <c r="R61" s="302">
        <v>1.1490003519418313E-2</v>
      </c>
      <c r="S61" s="302">
        <v>1.1490003519418313E-2</v>
      </c>
    </row>
    <row r="62" spans="2:19">
      <c r="B62" s="64"/>
      <c r="C62" s="115"/>
      <c r="D62" s="59"/>
      <c r="E62" s="302" t="s">
        <v>333</v>
      </c>
      <c r="F62" s="302">
        <v>0</v>
      </c>
      <c r="G62" s="302" t="s">
        <v>119</v>
      </c>
      <c r="H62" s="302">
        <v>0</v>
      </c>
      <c r="I62" s="302">
        <v>0</v>
      </c>
      <c r="J62" s="302">
        <v>0</v>
      </c>
      <c r="K62" s="302">
        <v>0</v>
      </c>
      <c r="L62" s="302">
        <v>0.03</v>
      </c>
      <c r="M62" s="302">
        <v>0.03</v>
      </c>
      <c r="N62" s="302">
        <v>0.03</v>
      </c>
      <c r="O62" s="302">
        <v>0.03</v>
      </c>
      <c r="P62" s="302">
        <v>0.03</v>
      </c>
      <c r="Q62" s="302">
        <v>0.03</v>
      </c>
      <c r="R62" s="302">
        <v>0.03</v>
      </c>
      <c r="S62" s="302">
        <v>0.03</v>
      </c>
    </row>
    <row r="63" spans="2:19">
      <c r="B63" s="64"/>
      <c r="C63" s="115"/>
      <c r="D63" s="59"/>
      <c r="E63" s="154" t="s">
        <v>334</v>
      </c>
      <c r="F63" s="154">
        <v>0</v>
      </c>
      <c r="G63" s="154" t="s">
        <v>119</v>
      </c>
      <c r="H63" s="154">
        <v>0</v>
      </c>
      <c r="I63" s="154">
        <v>0</v>
      </c>
      <c r="J63" s="154">
        <v>0</v>
      </c>
      <c r="K63" s="154">
        <v>0</v>
      </c>
      <c r="L63" s="154">
        <v>4.1834703625000857E-2</v>
      </c>
      <c r="M63" s="154">
        <v>4.1834703625000857E-2</v>
      </c>
      <c r="N63" s="154">
        <v>4.1834703625000857E-2</v>
      </c>
      <c r="O63" s="154">
        <v>4.1834703625000857E-2</v>
      </c>
      <c r="P63" s="154">
        <v>4.1834703625000857E-2</v>
      </c>
      <c r="Q63" s="154">
        <v>4.1834703625000857E-2</v>
      </c>
      <c r="R63" s="154">
        <v>4.1834703625000857E-2</v>
      </c>
      <c r="S63" s="154">
        <v>4.1834703625000857E-2</v>
      </c>
    </row>
    <row r="64" spans="2:19">
      <c r="B64" s="64"/>
      <c r="C64" s="115"/>
      <c r="D64" s="59"/>
    </row>
    <row r="65" spans="1:19">
      <c r="B65" s="64"/>
      <c r="C65" s="115"/>
      <c r="D65" s="59"/>
      <c r="E65" s="272" t="s">
        <v>335</v>
      </c>
      <c r="F65" s="272">
        <v>0</v>
      </c>
      <c r="G65" s="272" t="s">
        <v>336</v>
      </c>
    </row>
    <row r="66" spans="1:19">
      <c r="B66" s="64"/>
      <c r="C66" s="115"/>
      <c r="D66" s="59"/>
      <c r="E66" s="272"/>
      <c r="F66" s="159"/>
      <c r="G66" s="272"/>
    </row>
    <row r="67" spans="1:19">
      <c r="B67" s="64"/>
      <c r="C67" s="115"/>
      <c r="D67" s="59"/>
      <c r="E67" s="272" t="s">
        <v>337</v>
      </c>
      <c r="F67" s="272">
        <v>0</v>
      </c>
      <c r="G67" s="272" t="s">
        <v>338</v>
      </c>
    </row>
    <row r="68" spans="1:19">
      <c r="B68" s="64"/>
      <c r="C68" s="115"/>
      <c r="D68" s="59"/>
    </row>
    <row r="69" spans="1:19" s="272" customFormat="1">
      <c r="A69" s="13"/>
      <c r="B69" s="64"/>
      <c r="C69" s="115"/>
      <c r="D69" s="59"/>
      <c r="E69" s="272" t="s">
        <v>319</v>
      </c>
      <c r="F69" s="272">
        <v>0</v>
      </c>
      <c r="G69" s="272" t="s">
        <v>320</v>
      </c>
      <c r="H69" s="272">
        <v>0</v>
      </c>
      <c r="I69" s="272">
        <v>0</v>
      </c>
      <c r="J69" s="153" t="s">
        <v>321</v>
      </c>
      <c r="K69" s="153" t="s">
        <v>321</v>
      </c>
      <c r="L69" s="272">
        <v>1</v>
      </c>
      <c r="M69" s="272">
        <v>1</v>
      </c>
      <c r="N69" s="272">
        <v>1</v>
      </c>
      <c r="O69" s="272">
        <v>1</v>
      </c>
      <c r="P69" s="272">
        <v>1</v>
      </c>
      <c r="Q69" s="272">
        <v>0</v>
      </c>
      <c r="R69" s="272">
        <v>0</v>
      </c>
      <c r="S69" s="272">
        <v>0</v>
      </c>
    </row>
    <row r="70" spans="1:19" s="272" customFormat="1">
      <c r="A70" s="13"/>
      <c r="B70" s="64"/>
      <c r="C70" s="115"/>
      <c r="D70" s="59"/>
      <c r="E70" s="272" t="s">
        <v>322</v>
      </c>
      <c r="F70" s="272">
        <v>0</v>
      </c>
      <c r="G70" s="272" t="s">
        <v>320</v>
      </c>
      <c r="H70" s="272">
        <v>0</v>
      </c>
      <c r="I70" s="272">
        <v>0</v>
      </c>
      <c r="J70" s="153" t="s">
        <v>321</v>
      </c>
      <c r="K70" s="153" t="s">
        <v>321</v>
      </c>
      <c r="L70" s="272">
        <v>1</v>
      </c>
      <c r="M70" s="272">
        <v>1</v>
      </c>
      <c r="N70" s="272">
        <v>1</v>
      </c>
      <c r="O70" s="272">
        <v>1</v>
      </c>
      <c r="P70" s="272">
        <v>1</v>
      </c>
      <c r="Q70" s="272">
        <v>0</v>
      </c>
      <c r="R70" s="272">
        <v>0</v>
      </c>
      <c r="S70" s="272">
        <v>0</v>
      </c>
    </row>
    <row r="71" spans="1:19" s="272" customFormat="1">
      <c r="A71" s="13"/>
      <c r="B71" s="64"/>
      <c r="C71" s="115"/>
      <c r="D71" s="59"/>
      <c r="E71" s="272" t="s">
        <v>323</v>
      </c>
      <c r="F71" s="272">
        <v>0</v>
      </c>
      <c r="G71" s="272" t="s">
        <v>320</v>
      </c>
      <c r="H71" s="272">
        <v>0</v>
      </c>
      <c r="I71" s="272">
        <v>0</v>
      </c>
      <c r="J71" s="153" t="s">
        <v>321</v>
      </c>
      <c r="K71" s="153" t="s">
        <v>321</v>
      </c>
      <c r="L71" s="272">
        <v>1</v>
      </c>
      <c r="M71" s="272">
        <v>1</v>
      </c>
      <c r="N71" s="272">
        <v>1</v>
      </c>
      <c r="O71" s="272">
        <v>1</v>
      </c>
      <c r="P71" s="272">
        <v>1</v>
      </c>
      <c r="Q71" s="272">
        <v>0</v>
      </c>
      <c r="R71" s="272">
        <v>0</v>
      </c>
      <c r="S71" s="272">
        <v>0</v>
      </c>
    </row>
    <row r="72" spans="1:19">
      <c r="E72" s="272" t="s">
        <v>324</v>
      </c>
      <c r="F72" s="272">
        <v>0</v>
      </c>
      <c r="G72" s="272" t="s">
        <v>320</v>
      </c>
      <c r="H72" s="272">
        <v>0</v>
      </c>
      <c r="I72" s="272">
        <v>0</v>
      </c>
      <c r="J72" s="153" t="s">
        <v>321</v>
      </c>
      <c r="K72" s="153" t="s">
        <v>321</v>
      </c>
      <c r="L72" s="272">
        <v>1</v>
      </c>
      <c r="M72" s="272">
        <v>1</v>
      </c>
      <c r="N72" s="272">
        <v>1</v>
      </c>
      <c r="O72" s="272">
        <v>1</v>
      </c>
      <c r="P72" s="272">
        <v>1</v>
      </c>
      <c r="Q72" s="272">
        <v>0</v>
      </c>
      <c r="R72" s="272">
        <v>0</v>
      </c>
      <c r="S72" s="272">
        <v>0</v>
      </c>
    </row>
    <row r="73" spans="1:19">
      <c r="E73" s="272" t="s">
        <v>325</v>
      </c>
      <c r="F73" s="272">
        <v>0</v>
      </c>
      <c r="G73" s="272" t="s">
        <v>320</v>
      </c>
      <c r="H73" s="272">
        <v>0</v>
      </c>
      <c r="I73" s="272">
        <v>0</v>
      </c>
      <c r="J73" s="153" t="s">
        <v>321</v>
      </c>
      <c r="K73" s="153" t="s">
        <v>321</v>
      </c>
      <c r="L73" s="272">
        <v>0</v>
      </c>
      <c r="M73" s="272">
        <v>0</v>
      </c>
      <c r="N73" s="272">
        <v>0</v>
      </c>
      <c r="O73" s="272">
        <v>0</v>
      </c>
      <c r="P73" s="272">
        <v>0</v>
      </c>
      <c r="Q73" s="272">
        <v>0</v>
      </c>
      <c r="R73" s="272">
        <v>0</v>
      </c>
      <c r="S73" s="272">
        <v>0</v>
      </c>
    </row>
    <row r="74" spans="1:19"/>
    <row r="75" spans="1:19" s="272" customFormat="1">
      <c r="A75" s="13"/>
      <c r="B75" s="64"/>
      <c r="C75" s="115"/>
      <c r="D75" s="59"/>
      <c r="E75" s="272" t="s">
        <v>326</v>
      </c>
      <c r="F75" s="272">
        <v>0</v>
      </c>
      <c r="G75" s="272" t="s">
        <v>320</v>
      </c>
      <c r="H75" s="272">
        <v>0</v>
      </c>
      <c r="I75" s="272">
        <v>0</v>
      </c>
      <c r="J75" s="153" t="s">
        <v>321</v>
      </c>
      <c r="K75" s="153" t="s">
        <v>321</v>
      </c>
      <c r="L75" s="272">
        <v>1</v>
      </c>
      <c r="M75" s="272">
        <v>1</v>
      </c>
      <c r="N75" s="272">
        <v>1</v>
      </c>
      <c r="O75" s="272">
        <v>1</v>
      </c>
      <c r="P75" s="272">
        <v>1</v>
      </c>
      <c r="Q75" s="272">
        <v>0</v>
      </c>
      <c r="R75" s="272">
        <v>0</v>
      </c>
      <c r="S75" s="272">
        <v>0</v>
      </c>
    </row>
    <row r="76" spans="1:19" s="272" customFormat="1">
      <c r="A76" s="13"/>
      <c r="B76" s="64"/>
      <c r="C76" s="115"/>
      <c r="D76" s="59"/>
      <c r="E76" s="272" t="s">
        <v>327</v>
      </c>
      <c r="F76" s="272">
        <v>0</v>
      </c>
      <c r="G76" s="272" t="s">
        <v>320</v>
      </c>
      <c r="H76" s="272">
        <v>0</v>
      </c>
      <c r="I76" s="272">
        <v>0</v>
      </c>
      <c r="J76" s="153" t="s">
        <v>321</v>
      </c>
      <c r="K76" s="153" t="s">
        <v>321</v>
      </c>
      <c r="L76" s="272">
        <v>1</v>
      </c>
      <c r="M76" s="272">
        <v>1</v>
      </c>
      <c r="N76" s="272">
        <v>1</v>
      </c>
      <c r="O76" s="272">
        <v>1</v>
      </c>
      <c r="P76" s="272">
        <v>1</v>
      </c>
      <c r="Q76" s="272">
        <v>0</v>
      </c>
      <c r="R76" s="272">
        <v>0</v>
      </c>
      <c r="S76" s="272">
        <v>0</v>
      </c>
    </row>
    <row r="77" spans="1:19" s="272" customFormat="1">
      <c r="A77" s="13"/>
      <c r="B77" s="64"/>
      <c r="C77" s="115"/>
      <c r="D77" s="59"/>
      <c r="E77" s="272" t="s">
        <v>328</v>
      </c>
      <c r="F77" s="272">
        <v>0</v>
      </c>
      <c r="G77" s="272" t="s">
        <v>320</v>
      </c>
      <c r="H77" s="272">
        <v>0</v>
      </c>
      <c r="I77" s="272">
        <v>0</v>
      </c>
      <c r="J77" s="153" t="s">
        <v>321</v>
      </c>
      <c r="K77" s="153" t="s">
        <v>321</v>
      </c>
      <c r="L77" s="272">
        <v>1</v>
      </c>
      <c r="M77" s="272">
        <v>1</v>
      </c>
      <c r="N77" s="272">
        <v>1</v>
      </c>
      <c r="O77" s="272">
        <v>1</v>
      </c>
      <c r="P77" s="272">
        <v>1</v>
      </c>
      <c r="Q77" s="272">
        <v>0</v>
      </c>
      <c r="R77" s="272">
        <v>0</v>
      </c>
      <c r="S77" s="272">
        <v>0</v>
      </c>
    </row>
    <row r="78" spans="1:19" s="272" customFormat="1">
      <c r="A78" s="13"/>
      <c r="B78" s="64"/>
      <c r="C78" s="115"/>
      <c r="D78" s="59"/>
      <c r="E78" s="272" t="s">
        <v>329</v>
      </c>
      <c r="F78" s="272">
        <v>0</v>
      </c>
      <c r="G78" s="272" t="s">
        <v>320</v>
      </c>
      <c r="H78" s="272">
        <v>0</v>
      </c>
      <c r="I78" s="272">
        <v>0</v>
      </c>
      <c r="J78" s="153" t="s">
        <v>321</v>
      </c>
      <c r="K78" s="153" t="s">
        <v>321</v>
      </c>
      <c r="L78" s="272">
        <v>1</v>
      </c>
      <c r="M78" s="272">
        <v>1</v>
      </c>
      <c r="N78" s="272">
        <v>1</v>
      </c>
      <c r="O78" s="272">
        <v>1</v>
      </c>
      <c r="P78" s="272">
        <v>1</v>
      </c>
      <c r="Q78" s="272">
        <v>0</v>
      </c>
      <c r="R78" s="272">
        <v>0</v>
      </c>
      <c r="S78" s="272">
        <v>0</v>
      </c>
    </row>
    <row r="79" spans="1:19" s="272" customFormat="1">
      <c r="A79" s="13"/>
      <c r="B79" s="64"/>
      <c r="C79" s="115"/>
      <c r="D79" s="59"/>
      <c r="E79" s="272" t="s">
        <v>330</v>
      </c>
      <c r="F79" s="272">
        <v>0</v>
      </c>
      <c r="G79" s="272" t="s">
        <v>320</v>
      </c>
      <c r="H79" s="272">
        <v>0</v>
      </c>
      <c r="I79" s="272">
        <v>0</v>
      </c>
      <c r="J79" s="153" t="s">
        <v>321</v>
      </c>
      <c r="K79" s="153" t="s">
        <v>321</v>
      </c>
      <c r="L79" s="272">
        <v>0</v>
      </c>
      <c r="M79" s="272">
        <v>0</v>
      </c>
      <c r="N79" s="272">
        <v>0</v>
      </c>
      <c r="O79" s="272">
        <v>0</v>
      </c>
      <c r="P79" s="272">
        <v>0</v>
      </c>
      <c r="Q79" s="272">
        <v>0</v>
      </c>
      <c r="R79" s="272">
        <v>0</v>
      </c>
      <c r="S79" s="272">
        <v>0</v>
      </c>
    </row>
    <row r="80" spans="1:19" s="272" customFormat="1">
      <c r="A80" s="13"/>
      <c r="B80" s="64"/>
      <c r="C80" s="115"/>
      <c r="D80" s="59"/>
      <c r="J80" s="153"/>
      <c r="K80" s="153"/>
    </row>
    <row r="81" spans="1:19">
      <c r="B81" s="64"/>
      <c r="C81" s="115"/>
      <c r="D81" s="59"/>
      <c r="E81" s="272" t="s">
        <v>271</v>
      </c>
      <c r="F81" s="272">
        <v>0</v>
      </c>
      <c r="G81" s="272" t="s">
        <v>331</v>
      </c>
    </row>
    <row r="82" spans="1:19">
      <c r="B82" s="64"/>
      <c r="C82" s="115"/>
      <c r="D82" s="59"/>
      <c r="E82" s="272" t="s">
        <v>272</v>
      </c>
      <c r="F82" s="272">
        <v>0</v>
      </c>
      <c r="G82" s="272" t="s">
        <v>331</v>
      </c>
    </row>
    <row r="83" spans="1:19">
      <c r="B83" s="64"/>
      <c r="C83" s="115"/>
      <c r="D83" s="59"/>
      <c r="E83" s="272" t="s">
        <v>273</v>
      </c>
      <c r="F83" s="272">
        <v>0</v>
      </c>
      <c r="G83" s="272" t="s">
        <v>331</v>
      </c>
    </row>
    <row r="84" spans="1:19">
      <c r="B84" s="64"/>
      <c r="C84" s="115"/>
      <c r="D84" s="59"/>
      <c r="E84" s="272" t="s">
        <v>274</v>
      </c>
      <c r="F84" s="272">
        <v>0</v>
      </c>
      <c r="G84" s="272" t="s">
        <v>331</v>
      </c>
    </row>
    <row r="85" spans="1:19">
      <c r="B85" s="64"/>
      <c r="C85" s="115"/>
      <c r="D85" s="59"/>
      <c r="E85" s="272" t="s">
        <v>275</v>
      </c>
      <c r="F85" s="272">
        <v>0</v>
      </c>
      <c r="G85" s="272" t="s">
        <v>331</v>
      </c>
    </row>
    <row r="86" spans="1:19"/>
    <row r="87" spans="1:19">
      <c r="B87" s="64"/>
      <c r="C87" s="115"/>
      <c r="D87" s="59"/>
      <c r="E87" s="272" t="s">
        <v>276</v>
      </c>
      <c r="F87" s="272">
        <v>0</v>
      </c>
      <c r="G87" s="272" t="s">
        <v>331</v>
      </c>
    </row>
    <row r="88" spans="1:19">
      <c r="B88" s="64"/>
      <c r="C88" s="115"/>
      <c r="D88" s="59"/>
      <c r="E88" s="272" t="s">
        <v>277</v>
      </c>
      <c r="F88" s="272">
        <v>0</v>
      </c>
      <c r="G88" s="272" t="s">
        <v>331</v>
      </c>
    </row>
    <row r="89" spans="1:19">
      <c r="B89" s="64"/>
      <c r="C89" s="115"/>
      <c r="D89" s="59"/>
      <c r="E89" s="272" t="s">
        <v>278</v>
      </c>
      <c r="F89" s="272">
        <v>0</v>
      </c>
      <c r="G89" s="272" t="s">
        <v>331</v>
      </c>
    </row>
    <row r="90" spans="1:19">
      <c r="B90" s="64"/>
      <c r="C90" s="115"/>
      <c r="D90" s="59"/>
      <c r="E90" s="272" t="s">
        <v>279</v>
      </c>
      <c r="F90" s="272">
        <v>0</v>
      </c>
      <c r="G90" s="272" t="s">
        <v>331</v>
      </c>
    </row>
    <row r="91" spans="1:19">
      <c r="B91" s="64"/>
      <c r="C91" s="115"/>
      <c r="D91" s="59"/>
      <c r="E91" s="272" t="s">
        <v>280</v>
      </c>
      <c r="F91" s="272">
        <v>0</v>
      </c>
      <c r="G91" s="272" t="s">
        <v>331</v>
      </c>
    </row>
    <row r="92" spans="1:19">
      <c r="B92" s="64"/>
      <c r="C92" s="115"/>
      <c r="D92" s="59"/>
    </row>
    <row r="93" spans="1:19" s="50" customFormat="1">
      <c r="A93" s="148"/>
      <c r="B93" s="64"/>
      <c r="C93" s="115"/>
      <c r="D93" s="60"/>
      <c r="E93" s="157" t="s">
        <v>339</v>
      </c>
      <c r="F93" s="157">
        <v>0</v>
      </c>
      <c r="G93" s="157" t="s">
        <v>129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>
        <v>0</v>
      </c>
      <c r="N93" s="157">
        <v>0</v>
      </c>
      <c r="O93" s="157">
        <v>0</v>
      </c>
      <c r="P93" s="157">
        <v>0</v>
      </c>
      <c r="Q93" s="157">
        <v>0</v>
      </c>
      <c r="R93" s="157">
        <v>0</v>
      </c>
      <c r="S93" s="157">
        <v>0</v>
      </c>
    </row>
    <row r="94" spans="1:19" s="50" customFormat="1">
      <c r="A94" s="148"/>
      <c r="B94" s="64"/>
      <c r="C94" s="115"/>
      <c r="D94" s="60"/>
      <c r="E94" s="157" t="s">
        <v>341</v>
      </c>
      <c r="F94" s="157">
        <v>0</v>
      </c>
      <c r="G94" s="157" t="s">
        <v>129</v>
      </c>
      <c r="H94" s="157">
        <v>43.588459437050524</v>
      </c>
      <c r="I94" s="157">
        <v>0</v>
      </c>
      <c r="J94" s="157">
        <v>0</v>
      </c>
      <c r="K94" s="157">
        <v>0</v>
      </c>
      <c r="L94" s="157">
        <v>8.7176918874101048</v>
      </c>
      <c r="M94" s="157">
        <v>8.7176918874101048</v>
      </c>
      <c r="N94" s="157">
        <v>8.7176918874101048</v>
      </c>
      <c r="O94" s="157">
        <v>8.7176918874101048</v>
      </c>
      <c r="P94" s="157">
        <v>8.7176918874101048</v>
      </c>
      <c r="Q94" s="157">
        <v>0</v>
      </c>
      <c r="R94" s="157">
        <v>0</v>
      </c>
      <c r="S94" s="157">
        <v>0</v>
      </c>
    </row>
    <row r="95" spans="1:19" s="50" customFormat="1">
      <c r="A95" s="148"/>
      <c r="B95" s="64"/>
      <c r="C95" s="115"/>
      <c r="D95" s="60"/>
      <c r="E95" s="157" t="s">
        <v>343</v>
      </c>
      <c r="F95" s="157">
        <v>0</v>
      </c>
      <c r="G95" s="157" t="s">
        <v>129</v>
      </c>
      <c r="H95" s="157">
        <v>9.8277680478359741</v>
      </c>
      <c r="I95" s="157">
        <v>0</v>
      </c>
      <c r="J95" s="157">
        <v>0</v>
      </c>
      <c r="K95" s="157">
        <v>0</v>
      </c>
      <c r="L95" s="157">
        <v>1.9655536095671948</v>
      </c>
      <c r="M95" s="157">
        <v>1.9655536095671948</v>
      </c>
      <c r="N95" s="157">
        <v>1.9655536095671948</v>
      </c>
      <c r="O95" s="157">
        <v>1.9655536095671948</v>
      </c>
      <c r="P95" s="157">
        <v>1.9655536095671948</v>
      </c>
      <c r="Q95" s="157">
        <v>0</v>
      </c>
      <c r="R95" s="157">
        <v>0</v>
      </c>
      <c r="S95" s="157">
        <v>0</v>
      </c>
    </row>
    <row r="96" spans="1:19" s="50" customFormat="1">
      <c r="A96" s="148"/>
      <c r="B96" s="64"/>
      <c r="C96" s="115"/>
      <c r="D96" s="60"/>
      <c r="E96" s="157" t="s">
        <v>345</v>
      </c>
      <c r="F96" s="157">
        <v>0</v>
      </c>
      <c r="G96" s="157" t="s">
        <v>129</v>
      </c>
      <c r="H96" s="157">
        <v>0</v>
      </c>
      <c r="I96" s="157">
        <v>0</v>
      </c>
      <c r="J96" s="157">
        <v>0</v>
      </c>
      <c r="K96" s="157">
        <v>0</v>
      </c>
      <c r="L96" s="157">
        <v>0</v>
      </c>
      <c r="M96" s="157">
        <v>0</v>
      </c>
      <c r="N96" s="157">
        <v>0</v>
      </c>
      <c r="O96" s="157">
        <v>0</v>
      </c>
      <c r="P96" s="157">
        <v>0</v>
      </c>
      <c r="Q96" s="157">
        <v>0</v>
      </c>
      <c r="R96" s="157">
        <v>0</v>
      </c>
      <c r="S96" s="157">
        <v>0</v>
      </c>
    </row>
    <row r="97" spans="1:19" s="50" customFormat="1">
      <c r="A97" s="148"/>
      <c r="B97" s="64"/>
      <c r="C97" s="115"/>
      <c r="D97" s="60"/>
      <c r="E97" s="157" t="s">
        <v>347</v>
      </c>
      <c r="F97" s="157">
        <v>0</v>
      </c>
      <c r="G97" s="157" t="s">
        <v>129</v>
      </c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7">
        <v>0</v>
      </c>
      <c r="N97" s="157">
        <v>0</v>
      </c>
      <c r="O97" s="157">
        <v>0</v>
      </c>
      <c r="P97" s="157">
        <v>0</v>
      </c>
      <c r="Q97" s="157">
        <v>0</v>
      </c>
      <c r="R97" s="157">
        <v>0</v>
      </c>
      <c r="S97" s="157">
        <v>0</v>
      </c>
    </row>
    <row r="98" spans="1:19" s="50" customFormat="1">
      <c r="A98" s="148"/>
      <c r="B98" s="64"/>
      <c r="C98" s="115"/>
      <c r="D98" s="60"/>
    </row>
    <row r="99" spans="1:19" s="50" customFormat="1">
      <c r="A99" s="148"/>
      <c r="B99" s="64"/>
      <c r="C99" s="115"/>
      <c r="D99" s="60"/>
      <c r="E99" s="157" t="s">
        <v>340</v>
      </c>
      <c r="F99" s="157">
        <v>0</v>
      </c>
      <c r="G99" s="157" t="s">
        <v>129</v>
      </c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7">
        <v>0</v>
      </c>
      <c r="N99" s="157">
        <v>0</v>
      </c>
      <c r="O99" s="157">
        <v>0</v>
      </c>
      <c r="P99" s="157">
        <v>0</v>
      </c>
      <c r="Q99" s="157">
        <v>0</v>
      </c>
      <c r="R99" s="157">
        <v>0</v>
      </c>
      <c r="S99" s="157">
        <v>0</v>
      </c>
    </row>
    <row r="100" spans="1:19" s="50" customFormat="1">
      <c r="A100" s="148"/>
      <c r="B100" s="64"/>
      <c r="C100" s="115"/>
      <c r="D100" s="60"/>
      <c r="E100" s="157" t="s">
        <v>342</v>
      </c>
      <c r="F100" s="157">
        <v>0</v>
      </c>
      <c r="G100" s="157" t="s">
        <v>129</v>
      </c>
      <c r="H100" s="157">
        <v>-5.2837474219407055</v>
      </c>
      <c r="I100" s="157">
        <v>0</v>
      </c>
      <c r="J100" s="157">
        <v>0</v>
      </c>
      <c r="K100" s="157">
        <v>0</v>
      </c>
      <c r="L100" s="157">
        <v>-1.0567494843881411</v>
      </c>
      <c r="M100" s="157">
        <v>-1.0567494843881411</v>
      </c>
      <c r="N100" s="157">
        <v>-1.0567494843881411</v>
      </c>
      <c r="O100" s="157">
        <v>-1.0567494843881411</v>
      </c>
      <c r="P100" s="157">
        <v>-1.0567494843881411</v>
      </c>
      <c r="Q100" s="157">
        <v>0</v>
      </c>
      <c r="R100" s="157">
        <v>0</v>
      </c>
      <c r="S100" s="157">
        <v>0</v>
      </c>
    </row>
    <row r="101" spans="1:19" s="50" customFormat="1">
      <c r="A101" s="148"/>
      <c r="B101" s="64"/>
      <c r="C101" s="115"/>
      <c r="D101" s="60"/>
      <c r="E101" s="157" t="s">
        <v>344</v>
      </c>
      <c r="F101" s="157">
        <v>0</v>
      </c>
      <c r="G101" s="157" t="s">
        <v>129</v>
      </c>
      <c r="H101" s="157">
        <v>6.8491183489785126</v>
      </c>
      <c r="I101" s="157">
        <v>0</v>
      </c>
      <c r="J101" s="157">
        <v>0</v>
      </c>
      <c r="K101" s="157">
        <v>0</v>
      </c>
      <c r="L101" s="157">
        <v>1.3698236697957025</v>
      </c>
      <c r="M101" s="157">
        <v>1.3698236697957025</v>
      </c>
      <c r="N101" s="157">
        <v>1.3698236697957025</v>
      </c>
      <c r="O101" s="157">
        <v>1.3698236697957025</v>
      </c>
      <c r="P101" s="157">
        <v>1.3698236697957025</v>
      </c>
      <c r="Q101" s="157">
        <v>0</v>
      </c>
      <c r="R101" s="157">
        <v>0</v>
      </c>
      <c r="S101" s="157">
        <v>0</v>
      </c>
    </row>
    <row r="102" spans="1:19" s="50" customFormat="1">
      <c r="A102" s="148"/>
      <c r="B102" s="64"/>
      <c r="C102" s="115"/>
      <c r="D102" s="60"/>
      <c r="E102" s="157" t="s">
        <v>346</v>
      </c>
      <c r="F102" s="157">
        <v>0</v>
      </c>
      <c r="G102" s="157" t="s">
        <v>129</v>
      </c>
      <c r="H102" s="157">
        <v>0</v>
      </c>
      <c r="I102" s="157">
        <v>0</v>
      </c>
      <c r="J102" s="157">
        <v>0</v>
      </c>
      <c r="K102" s="157">
        <v>0</v>
      </c>
      <c r="L102" s="157">
        <v>0</v>
      </c>
      <c r="M102" s="157">
        <v>0</v>
      </c>
      <c r="N102" s="157">
        <v>0</v>
      </c>
      <c r="O102" s="157">
        <v>0</v>
      </c>
      <c r="P102" s="157">
        <v>0</v>
      </c>
      <c r="Q102" s="157">
        <v>0</v>
      </c>
      <c r="R102" s="157">
        <v>0</v>
      </c>
      <c r="S102" s="157">
        <v>0</v>
      </c>
    </row>
    <row r="103" spans="1:19" s="50" customFormat="1">
      <c r="A103" s="148"/>
      <c r="B103" s="64"/>
      <c r="C103" s="115"/>
      <c r="D103" s="60"/>
      <c r="E103" s="157" t="s">
        <v>348</v>
      </c>
      <c r="F103" s="157">
        <v>0</v>
      </c>
      <c r="G103" s="157" t="s">
        <v>129</v>
      </c>
      <c r="H103" s="157">
        <v>0</v>
      </c>
      <c r="I103" s="157">
        <v>0</v>
      </c>
      <c r="J103" s="157">
        <v>0</v>
      </c>
      <c r="K103" s="157">
        <v>0</v>
      </c>
      <c r="L103" s="157">
        <v>0</v>
      </c>
      <c r="M103" s="157">
        <v>0</v>
      </c>
      <c r="N103" s="157">
        <v>0</v>
      </c>
      <c r="O103" s="157">
        <v>0</v>
      </c>
      <c r="P103" s="157">
        <v>0</v>
      </c>
      <c r="Q103" s="157">
        <v>0</v>
      </c>
      <c r="R103" s="157">
        <v>0</v>
      </c>
      <c r="S103" s="157">
        <v>0</v>
      </c>
    </row>
    <row r="104" spans="1:19">
      <c r="B104" s="64"/>
      <c r="C104" s="115"/>
      <c r="D104" s="59"/>
    </row>
    <row r="105" spans="1:19" s="155" customFormat="1">
      <c r="A105" s="13"/>
      <c r="B105" s="10"/>
      <c r="C105" s="158"/>
      <c r="D105" s="11"/>
      <c r="E105" s="8" t="str">
        <f xml:space="preserve"> A$41 &amp; " - " &amp; E43</f>
        <v xml:space="preserve">FD MODEL INPUTS - Tax WR - real </v>
      </c>
      <c r="F105" s="155">
        <f t="shared" ref="F105:S105" si="0">F43</f>
        <v>0</v>
      </c>
      <c r="G105" s="155" t="str">
        <f t="shared" si="0"/>
        <v>£m</v>
      </c>
      <c r="H105" s="155">
        <f t="shared" si="0"/>
        <v>9.5374348864663112</v>
      </c>
      <c r="I105" s="155">
        <f t="shared" si="0"/>
        <v>0</v>
      </c>
      <c r="J105" s="155">
        <f t="shared" si="0"/>
        <v>0</v>
      </c>
      <c r="K105" s="155">
        <f t="shared" si="0"/>
        <v>0</v>
      </c>
      <c r="L105" s="155">
        <f t="shared" si="0"/>
        <v>1.5404811939049154</v>
      </c>
      <c r="M105" s="155">
        <f t="shared" si="0"/>
        <v>1.8486445830706861</v>
      </c>
      <c r="N105" s="155">
        <f t="shared" si="0"/>
        <v>1.8545952566945054</v>
      </c>
      <c r="O105" s="155">
        <f t="shared" si="0"/>
        <v>1.9762038542161282</v>
      </c>
      <c r="P105" s="155">
        <f t="shared" si="0"/>
        <v>2.3175099985800767</v>
      </c>
      <c r="Q105" s="155">
        <f t="shared" si="0"/>
        <v>0</v>
      </c>
      <c r="R105" s="155">
        <f t="shared" si="0"/>
        <v>0</v>
      </c>
      <c r="S105" s="155">
        <f t="shared" si="0"/>
        <v>0</v>
      </c>
    </row>
    <row r="106" spans="1:19" s="155" customFormat="1">
      <c r="A106" s="13"/>
      <c r="B106" s="10"/>
      <c r="C106" s="158"/>
      <c r="D106" s="11"/>
      <c r="E106" s="8" t="str">
        <f xml:space="preserve"> A$41 &amp; " - " &amp; E44</f>
        <v xml:space="preserve">FD MODEL INPUTS - Tax WN - real </v>
      </c>
      <c r="F106" s="155">
        <f t="shared" ref="F106:S106" si="1">F44</f>
        <v>0</v>
      </c>
      <c r="G106" s="155" t="str">
        <f t="shared" si="1"/>
        <v>£m</v>
      </c>
      <c r="H106" s="155">
        <f t="shared" si="1"/>
        <v>76.921444130660348</v>
      </c>
      <c r="I106" s="155">
        <f t="shared" si="1"/>
        <v>0</v>
      </c>
      <c r="J106" s="155">
        <f t="shared" si="1"/>
        <v>0</v>
      </c>
      <c r="K106" s="155">
        <f t="shared" si="1"/>
        <v>0</v>
      </c>
      <c r="L106" s="155">
        <f t="shared" si="1"/>
        <v>12.177126500611541</v>
      </c>
      <c r="M106" s="155">
        <f t="shared" si="1"/>
        <v>13.599701491423064</v>
      </c>
      <c r="N106" s="155">
        <f t="shared" si="1"/>
        <v>14.458389356724092</v>
      </c>
      <c r="O106" s="155">
        <f t="shared" si="1"/>
        <v>17.017370831840324</v>
      </c>
      <c r="P106" s="155">
        <f t="shared" si="1"/>
        <v>19.668855950061321</v>
      </c>
      <c r="Q106" s="155">
        <f t="shared" si="1"/>
        <v>0</v>
      </c>
      <c r="R106" s="155">
        <f t="shared" si="1"/>
        <v>0</v>
      </c>
      <c r="S106" s="155">
        <f t="shared" si="1"/>
        <v>0</v>
      </c>
    </row>
    <row r="107" spans="1:19" s="155" customFormat="1">
      <c r="A107" s="13"/>
      <c r="B107" s="10"/>
      <c r="C107" s="158"/>
      <c r="D107" s="11"/>
      <c r="E107" s="8" t="str">
        <f xml:space="preserve"> A$41 &amp; " - " &amp; E45</f>
        <v>FD MODEL INPUTS - Tax WWN - real</v>
      </c>
      <c r="F107" s="155">
        <f t="shared" ref="F107:S107" si="2">F45</f>
        <v>0</v>
      </c>
      <c r="G107" s="155" t="str">
        <f t="shared" si="2"/>
        <v>£m</v>
      </c>
      <c r="H107" s="155">
        <f t="shared" si="2"/>
        <v>106.93305961760599</v>
      </c>
      <c r="I107" s="155">
        <f t="shared" si="2"/>
        <v>0</v>
      </c>
      <c r="J107" s="155">
        <f t="shared" si="2"/>
        <v>0</v>
      </c>
      <c r="K107" s="155">
        <f t="shared" si="2"/>
        <v>0</v>
      </c>
      <c r="L107" s="155">
        <f t="shared" si="2"/>
        <v>20.901302782585084</v>
      </c>
      <c r="M107" s="155">
        <f t="shared" si="2"/>
        <v>20.438783385729554</v>
      </c>
      <c r="N107" s="155">
        <f t="shared" si="2"/>
        <v>22.780014153949708</v>
      </c>
      <c r="O107" s="155">
        <f t="shared" si="2"/>
        <v>20.704574718699376</v>
      </c>
      <c r="P107" s="155">
        <f t="shared" si="2"/>
        <v>22.108384576642262</v>
      </c>
      <c r="Q107" s="155">
        <f t="shared" si="2"/>
        <v>0</v>
      </c>
      <c r="R107" s="155">
        <f t="shared" si="2"/>
        <v>0</v>
      </c>
      <c r="S107" s="155">
        <f t="shared" si="2"/>
        <v>0</v>
      </c>
    </row>
    <row r="108" spans="1:19" s="155" customFormat="1">
      <c r="A108" s="13"/>
      <c r="B108" s="10"/>
      <c r="C108" s="158"/>
      <c r="D108" s="11"/>
      <c r="E108" s="8" t="str">
        <f xml:space="preserve"> A$41 &amp; " - " &amp; E46</f>
        <v>FD MODEL INPUTS - Tax BR - real</v>
      </c>
      <c r="F108" s="155">
        <f t="shared" ref="F108:S108" si="3">F46</f>
        <v>0</v>
      </c>
      <c r="G108" s="155" t="str">
        <f t="shared" si="3"/>
        <v>£m</v>
      </c>
      <c r="H108" s="155">
        <f t="shared" si="3"/>
        <v>17.948444727812358</v>
      </c>
      <c r="I108" s="155">
        <f t="shared" si="3"/>
        <v>0</v>
      </c>
      <c r="J108" s="155">
        <f t="shared" si="3"/>
        <v>0</v>
      </c>
      <c r="K108" s="155">
        <f t="shared" si="3"/>
        <v>0</v>
      </c>
      <c r="L108" s="155">
        <f t="shared" si="3"/>
        <v>3.0036991449634169</v>
      </c>
      <c r="M108" s="155">
        <f t="shared" si="3"/>
        <v>3.1270736658159302</v>
      </c>
      <c r="N108" s="155">
        <f t="shared" si="3"/>
        <v>3.4856855541498515</v>
      </c>
      <c r="O108" s="155">
        <f t="shared" si="3"/>
        <v>3.9673982617536954</v>
      </c>
      <c r="P108" s="155">
        <f t="shared" si="3"/>
        <v>4.3645881011294652</v>
      </c>
      <c r="Q108" s="155">
        <f t="shared" si="3"/>
        <v>0</v>
      </c>
      <c r="R108" s="155">
        <f t="shared" si="3"/>
        <v>0</v>
      </c>
      <c r="S108" s="155">
        <f t="shared" si="3"/>
        <v>0</v>
      </c>
    </row>
    <row r="109" spans="1:19" s="155" customFormat="1">
      <c r="A109" s="13"/>
      <c r="B109" s="10"/>
      <c r="C109" s="158"/>
      <c r="D109" s="11"/>
      <c r="E109" s="8" t="str">
        <f xml:space="preserve"> A$41 &amp; " - " &amp; E47</f>
        <v>FD MODEL INPUTS - Tax DMMY - real</v>
      </c>
      <c r="F109" s="155">
        <f t="shared" ref="F109:S109" si="4">F47</f>
        <v>0</v>
      </c>
      <c r="G109" s="155" t="str">
        <f t="shared" si="4"/>
        <v>£m</v>
      </c>
      <c r="H109" s="155">
        <f t="shared" si="4"/>
        <v>0</v>
      </c>
      <c r="I109" s="155">
        <f t="shared" si="4"/>
        <v>0</v>
      </c>
      <c r="J109" s="155">
        <f t="shared" si="4"/>
        <v>0</v>
      </c>
      <c r="K109" s="155">
        <f t="shared" si="4"/>
        <v>0</v>
      </c>
      <c r="L109" s="155">
        <f t="shared" si="4"/>
        <v>0</v>
      </c>
      <c r="M109" s="155">
        <f t="shared" si="4"/>
        <v>0</v>
      </c>
      <c r="N109" s="155">
        <f t="shared" si="4"/>
        <v>0</v>
      </c>
      <c r="O109" s="155">
        <f t="shared" si="4"/>
        <v>0</v>
      </c>
      <c r="P109" s="155">
        <f t="shared" si="4"/>
        <v>0</v>
      </c>
      <c r="Q109" s="155">
        <f t="shared" si="4"/>
        <v>0</v>
      </c>
      <c r="R109" s="155">
        <f t="shared" si="4"/>
        <v>0</v>
      </c>
      <c r="S109" s="155">
        <f t="shared" si="4"/>
        <v>0</v>
      </c>
    </row>
    <row r="110" spans="1:19">
      <c r="C110" s="158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</row>
    <row r="111" spans="1:19">
      <c r="C111" s="158"/>
      <c r="E111" s="8" t="str">
        <f xml:space="preserve"> A$41 &amp; " - " &amp; E49</f>
        <v>FD MODEL INPUTS - Water resources - Allowed Revenues - real</v>
      </c>
      <c r="F111" s="155">
        <f t="shared" ref="F111:S111" si="5">F49</f>
        <v>0</v>
      </c>
      <c r="G111" s="155" t="str">
        <f t="shared" si="5"/>
        <v>£m</v>
      </c>
      <c r="H111" s="155">
        <f t="shared" si="5"/>
        <v>688.8749782359572</v>
      </c>
      <c r="I111" s="155">
        <f t="shared" si="5"/>
        <v>0</v>
      </c>
      <c r="J111" s="155">
        <f t="shared" si="5"/>
        <v>0</v>
      </c>
      <c r="K111" s="155">
        <f t="shared" si="5"/>
        <v>0</v>
      </c>
      <c r="L111" s="155">
        <f t="shared" si="5"/>
        <v>99.123752218533681</v>
      </c>
      <c r="M111" s="155">
        <f t="shared" si="5"/>
        <v>100.19246536781438</v>
      </c>
      <c r="N111" s="155">
        <f t="shared" si="5"/>
        <v>101.73206168246328</v>
      </c>
      <c r="O111" s="155">
        <f t="shared" si="5"/>
        <v>106.89796090075956</v>
      </c>
      <c r="P111" s="155">
        <f t="shared" si="5"/>
        <v>114.2757909028129</v>
      </c>
      <c r="Q111" s="155">
        <f t="shared" si="5"/>
        <v>35.383295572084961</v>
      </c>
      <c r="R111" s="155">
        <f t="shared" si="5"/>
        <v>34.876323472310339</v>
      </c>
      <c r="S111" s="155">
        <f t="shared" si="5"/>
        <v>33.284952333922412</v>
      </c>
    </row>
    <row r="112" spans="1:19">
      <c r="C112" s="158"/>
      <c r="E112" s="8" t="str">
        <f xml:space="preserve"> A$41 &amp; " - " &amp; E50</f>
        <v>FD MODEL INPUTS - Water network - Allowed Revenues - real</v>
      </c>
      <c r="F112" s="155">
        <f t="shared" ref="F112:S112" si="6">F50</f>
        <v>0</v>
      </c>
      <c r="G112" s="155" t="str">
        <f t="shared" si="6"/>
        <v>£m</v>
      </c>
      <c r="H112" s="155">
        <f t="shared" si="6"/>
        <v>4121.1149451102438</v>
      </c>
      <c r="I112" s="155">
        <f t="shared" si="6"/>
        <v>0</v>
      </c>
      <c r="J112" s="155">
        <f t="shared" si="6"/>
        <v>0</v>
      </c>
      <c r="K112" s="155">
        <f t="shared" si="6"/>
        <v>0</v>
      </c>
      <c r="L112" s="155">
        <f t="shared" si="6"/>
        <v>587.96615580489618</v>
      </c>
      <c r="M112" s="155">
        <f t="shared" si="6"/>
        <v>593.30120162947719</v>
      </c>
      <c r="N112" s="155">
        <f t="shared" si="6"/>
        <v>592.89074853636077</v>
      </c>
      <c r="O112" s="155">
        <f t="shared" si="6"/>
        <v>604.77039178290636</v>
      </c>
      <c r="P112" s="155">
        <f t="shared" si="6"/>
        <v>599.05257465556053</v>
      </c>
      <c r="Q112" s="155">
        <f t="shared" si="6"/>
        <v>251.59409795987349</v>
      </c>
      <c r="R112" s="155">
        <f t="shared" si="6"/>
        <v>238.27451560645642</v>
      </c>
      <c r="S112" s="155">
        <f t="shared" si="6"/>
        <v>227.30281774426447</v>
      </c>
    </row>
    <row r="113" spans="1:19">
      <c r="C113" s="158"/>
      <c r="E113" s="8" t="str">
        <f xml:space="preserve"> A$41 &amp; " - " &amp; E51</f>
        <v>FD MODEL INPUTS - Wastewater network - Allowed Revenues - real</v>
      </c>
      <c r="F113" s="155">
        <f t="shared" ref="F113:S113" si="7">F51</f>
        <v>0</v>
      </c>
      <c r="G113" s="155" t="str">
        <f t="shared" si="7"/>
        <v>£m</v>
      </c>
      <c r="H113" s="155">
        <f t="shared" si="7"/>
        <v>5857.6740963859183</v>
      </c>
      <c r="I113" s="155">
        <f t="shared" si="7"/>
        <v>0</v>
      </c>
      <c r="J113" s="155">
        <f t="shared" si="7"/>
        <v>0</v>
      </c>
      <c r="K113" s="155">
        <f t="shared" si="7"/>
        <v>0</v>
      </c>
      <c r="L113" s="155">
        <f t="shared" si="7"/>
        <v>764.74186566593892</v>
      </c>
      <c r="M113" s="155">
        <f t="shared" si="7"/>
        <v>751.48338271462467</v>
      </c>
      <c r="N113" s="155">
        <f t="shared" si="7"/>
        <v>750.03760036760536</v>
      </c>
      <c r="O113" s="155">
        <f t="shared" si="7"/>
        <v>757.0723448548282</v>
      </c>
      <c r="P113" s="155">
        <f t="shared" si="7"/>
        <v>763.83111357861662</v>
      </c>
      <c r="Q113" s="155">
        <f t="shared" si="7"/>
        <v>446.41099966335156</v>
      </c>
      <c r="R113" s="155">
        <f t="shared" si="7"/>
        <v>430.26228007439397</v>
      </c>
      <c r="S113" s="155">
        <f t="shared" si="7"/>
        <v>414.25557952067106</v>
      </c>
    </row>
    <row r="114" spans="1:19">
      <c r="C114" s="158"/>
      <c r="E114" s="8" t="str">
        <f xml:space="preserve"> A$41 &amp; " - " &amp; E52</f>
        <v>FD MODEL INPUTS - Bio resources - Allowed Revenues - real</v>
      </c>
      <c r="F114" s="155">
        <f t="shared" ref="F114:S114" si="8">F52</f>
        <v>0</v>
      </c>
      <c r="G114" s="155" t="str">
        <f t="shared" si="8"/>
        <v>£m</v>
      </c>
      <c r="H114" s="155">
        <f t="shared" si="8"/>
        <v>701.59225821777375</v>
      </c>
      <c r="I114" s="155">
        <f t="shared" si="8"/>
        <v>0</v>
      </c>
      <c r="J114" s="155">
        <f t="shared" si="8"/>
        <v>0</v>
      </c>
      <c r="K114" s="155">
        <f t="shared" si="8"/>
        <v>0</v>
      </c>
      <c r="L114" s="155">
        <f t="shared" si="8"/>
        <v>91.814909120986897</v>
      </c>
      <c r="M114" s="155">
        <f t="shared" si="8"/>
        <v>92.903165608942544</v>
      </c>
      <c r="N114" s="155">
        <f t="shared" si="8"/>
        <v>94.655116895032535</v>
      </c>
      <c r="O114" s="155">
        <f t="shared" si="8"/>
        <v>95.957195156410464</v>
      </c>
      <c r="P114" s="155">
        <f t="shared" si="8"/>
        <v>97.465218995484904</v>
      </c>
      <c r="Q114" s="155">
        <f t="shared" si="8"/>
        <v>52.975639225898284</v>
      </c>
      <c r="R114" s="155">
        <f t="shared" si="8"/>
        <v>48.938556300785436</v>
      </c>
      <c r="S114" s="155">
        <f t="shared" si="8"/>
        <v>45.495610069135942</v>
      </c>
    </row>
    <row r="115" spans="1:19">
      <c r="C115" s="158"/>
      <c r="E115" s="8" t="str">
        <f xml:space="preserve"> A$41 &amp; " - " &amp; E53</f>
        <v>FD MODEL INPUTS - Dummy control - Allowed Revenues - real</v>
      </c>
      <c r="F115" s="155">
        <f t="shared" ref="F115:S115" si="9">F53</f>
        <v>0</v>
      </c>
      <c r="G115" s="155" t="str">
        <f t="shared" si="9"/>
        <v>£m</v>
      </c>
      <c r="H115" s="155">
        <f t="shared" si="9"/>
        <v>0</v>
      </c>
      <c r="I115" s="155">
        <f t="shared" si="9"/>
        <v>0</v>
      </c>
      <c r="J115" s="155">
        <f t="shared" si="9"/>
        <v>0</v>
      </c>
      <c r="K115" s="155">
        <f t="shared" si="9"/>
        <v>0</v>
      </c>
      <c r="L115" s="155">
        <f t="shared" si="9"/>
        <v>0</v>
      </c>
      <c r="M115" s="155">
        <f t="shared" si="9"/>
        <v>0</v>
      </c>
      <c r="N115" s="155">
        <f t="shared" si="9"/>
        <v>0</v>
      </c>
      <c r="O115" s="155">
        <f t="shared" si="9"/>
        <v>0</v>
      </c>
      <c r="P115" s="155">
        <f t="shared" si="9"/>
        <v>0</v>
      </c>
      <c r="Q115" s="155">
        <f t="shared" si="9"/>
        <v>0</v>
      </c>
      <c r="R115" s="155">
        <f t="shared" si="9"/>
        <v>0</v>
      </c>
      <c r="S115" s="155">
        <f t="shared" si="9"/>
        <v>0</v>
      </c>
    </row>
    <row r="116" spans="1:19"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</row>
    <row r="117" spans="1:19">
      <c r="E117" s="8" t="str">
        <f xml:space="preserve"> A$41 &amp; " - " &amp; E55</f>
        <v>FD MODEL INPUTS - Capital expenditure writing down allowance pool 1</v>
      </c>
      <c r="F117" s="271">
        <f t="shared" ref="F117:S117" si="10">F55</f>
        <v>0.18</v>
      </c>
      <c r="G117" s="155" t="str">
        <f t="shared" si="10"/>
        <v>%</v>
      </c>
      <c r="H117" s="155">
        <f t="shared" si="10"/>
        <v>0</v>
      </c>
      <c r="I117" s="155">
        <f t="shared" si="10"/>
        <v>0</v>
      </c>
      <c r="J117" s="155">
        <f t="shared" si="10"/>
        <v>0</v>
      </c>
      <c r="K117" s="155">
        <f t="shared" si="10"/>
        <v>0</v>
      </c>
      <c r="L117" s="155">
        <f t="shared" si="10"/>
        <v>0</v>
      </c>
      <c r="M117" s="155">
        <f t="shared" si="10"/>
        <v>0</v>
      </c>
      <c r="N117" s="155">
        <f t="shared" si="10"/>
        <v>0</v>
      </c>
      <c r="O117" s="155">
        <f t="shared" si="10"/>
        <v>0</v>
      </c>
      <c r="P117" s="155">
        <f t="shared" si="10"/>
        <v>0</v>
      </c>
      <c r="Q117" s="155">
        <f t="shared" si="10"/>
        <v>0</v>
      </c>
      <c r="R117" s="155">
        <f t="shared" si="10"/>
        <v>0</v>
      </c>
      <c r="S117" s="155">
        <f t="shared" si="10"/>
        <v>0</v>
      </c>
    </row>
    <row r="118" spans="1:19">
      <c r="E118" s="8" t="str">
        <f xml:space="preserve"> A$41 &amp; " - " &amp; E56</f>
        <v>FD MODEL INPUTS - Capital expenditure writing down allowance pool 2</v>
      </c>
      <c r="F118" s="271">
        <f t="shared" ref="F118:S118" si="11">F56</f>
        <v>0.06</v>
      </c>
      <c r="G118" s="155" t="str">
        <f t="shared" si="11"/>
        <v>%</v>
      </c>
      <c r="H118" s="155">
        <f t="shared" si="11"/>
        <v>0</v>
      </c>
      <c r="I118" s="155">
        <f t="shared" si="11"/>
        <v>0</v>
      </c>
      <c r="J118" s="155">
        <f t="shared" si="11"/>
        <v>0</v>
      </c>
      <c r="K118" s="155">
        <f t="shared" si="11"/>
        <v>0</v>
      </c>
      <c r="L118" s="155">
        <f t="shared" si="11"/>
        <v>0</v>
      </c>
      <c r="M118" s="155">
        <f t="shared" si="11"/>
        <v>0</v>
      </c>
      <c r="N118" s="155">
        <f t="shared" si="11"/>
        <v>0</v>
      </c>
      <c r="O118" s="155">
        <f t="shared" si="11"/>
        <v>0</v>
      </c>
      <c r="P118" s="155">
        <f t="shared" si="11"/>
        <v>0</v>
      </c>
      <c r="Q118" s="155">
        <f t="shared" si="11"/>
        <v>0</v>
      </c>
      <c r="R118" s="155">
        <f t="shared" si="11"/>
        <v>0</v>
      </c>
      <c r="S118" s="155">
        <f t="shared" si="11"/>
        <v>0</v>
      </c>
    </row>
    <row r="119" spans="1:19">
      <c r="E119" s="8" t="str">
        <f xml:space="preserve"> A$41 &amp; " - " &amp; E57</f>
        <v>FD MODEL INPUTS - Capital expenditure writing down allowance pool 3</v>
      </c>
      <c r="F119" s="271">
        <f t="shared" ref="F119:S119" si="12">F57</f>
        <v>0.02</v>
      </c>
      <c r="G119" s="155" t="str">
        <f t="shared" si="12"/>
        <v>%</v>
      </c>
      <c r="H119" s="155">
        <f t="shared" si="12"/>
        <v>0</v>
      </c>
      <c r="I119" s="155">
        <f t="shared" si="12"/>
        <v>0</v>
      </c>
      <c r="J119" s="155">
        <f t="shared" si="12"/>
        <v>0</v>
      </c>
      <c r="K119" s="155">
        <f t="shared" si="12"/>
        <v>0</v>
      </c>
      <c r="L119" s="155">
        <f t="shared" si="12"/>
        <v>0</v>
      </c>
      <c r="M119" s="155">
        <f t="shared" si="12"/>
        <v>0</v>
      </c>
      <c r="N119" s="155">
        <f t="shared" si="12"/>
        <v>0</v>
      </c>
      <c r="O119" s="155">
        <f t="shared" si="12"/>
        <v>0</v>
      </c>
      <c r="P119" s="155">
        <f t="shared" si="12"/>
        <v>0</v>
      </c>
      <c r="Q119" s="155">
        <f t="shared" si="12"/>
        <v>0</v>
      </c>
      <c r="R119" s="155">
        <f t="shared" si="12"/>
        <v>0</v>
      </c>
      <c r="S119" s="155">
        <f t="shared" si="12"/>
        <v>0</v>
      </c>
    </row>
    <row r="120" spans="1:19"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</row>
    <row r="121" spans="1:19" s="271" customFormat="1">
      <c r="A121" s="13"/>
      <c r="B121" s="10"/>
      <c r="C121" s="116"/>
      <c r="D121" s="11"/>
      <c r="E121" s="8" t="str">
        <f xml:space="preserve"> A$41 &amp; " - " &amp; E59</f>
        <v>FD MODEL INPUTS - Statutory Corporation tax rate</v>
      </c>
      <c r="F121" s="155" t="str">
        <f t="shared" ref="F121:S121" si="13">F59</f>
        <v>Global input</v>
      </c>
      <c r="G121" s="155" t="str">
        <f t="shared" si="13"/>
        <v>%</v>
      </c>
      <c r="H121" s="155">
        <f t="shared" si="13"/>
        <v>0</v>
      </c>
      <c r="I121" s="155">
        <f t="shared" si="13"/>
        <v>0</v>
      </c>
      <c r="J121" s="271">
        <f t="shared" si="13"/>
        <v>0</v>
      </c>
      <c r="K121" s="271">
        <f t="shared" si="13"/>
        <v>0</v>
      </c>
      <c r="L121" s="271">
        <f t="shared" si="13"/>
        <v>0.17</v>
      </c>
      <c r="M121" s="271">
        <f t="shared" si="13"/>
        <v>0.17</v>
      </c>
      <c r="N121" s="271">
        <f t="shared" si="13"/>
        <v>0.17</v>
      </c>
      <c r="O121" s="271">
        <f t="shared" si="13"/>
        <v>0.17</v>
      </c>
      <c r="P121" s="271">
        <f t="shared" si="13"/>
        <v>0.17</v>
      </c>
      <c r="Q121" s="271">
        <f t="shared" si="13"/>
        <v>0</v>
      </c>
      <c r="R121" s="271">
        <f t="shared" si="13"/>
        <v>0</v>
      </c>
      <c r="S121" s="271">
        <f t="shared" si="13"/>
        <v>0</v>
      </c>
    </row>
    <row r="122" spans="1:19"/>
    <row r="123" spans="1:19" s="271" customFormat="1">
      <c r="A123" s="13"/>
      <c r="B123" s="10"/>
      <c r="C123" s="116"/>
      <c r="D123" s="11"/>
      <c r="E123" s="8" t="str">
        <f xml:space="preserve"> A$41 &amp; " - " &amp; E61</f>
        <v>FD MODEL INPUTS - Notional Cost of Debt override - real</v>
      </c>
      <c r="F123" s="155">
        <f t="shared" ref="F123:S123" si="14">F61</f>
        <v>0</v>
      </c>
      <c r="G123" s="155" t="str">
        <f t="shared" si="14"/>
        <v>%</v>
      </c>
      <c r="H123" s="155">
        <f t="shared" si="14"/>
        <v>0</v>
      </c>
      <c r="I123" s="155">
        <f t="shared" si="14"/>
        <v>0</v>
      </c>
      <c r="J123" s="271">
        <f t="shared" si="14"/>
        <v>0</v>
      </c>
      <c r="K123" s="271">
        <f t="shared" si="14"/>
        <v>0</v>
      </c>
      <c r="L123" s="271">
        <f t="shared" si="14"/>
        <v>1.1490003519418313E-2</v>
      </c>
      <c r="M123" s="271">
        <f t="shared" si="14"/>
        <v>1.1490003519418313E-2</v>
      </c>
      <c r="N123" s="271">
        <f t="shared" si="14"/>
        <v>1.1490003519418313E-2</v>
      </c>
      <c r="O123" s="271">
        <f t="shared" si="14"/>
        <v>1.1490003519418313E-2</v>
      </c>
      <c r="P123" s="271">
        <f t="shared" si="14"/>
        <v>1.1490003519418313E-2</v>
      </c>
      <c r="Q123" s="271">
        <f t="shared" si="14"/>
        <v>1.1490003519418313E-2</v>
      </c>
      <c r="R123" s="271">
        <f t="shared" si="14"/>
        <v>1.1490003519418313E-2</v>
      </c>
      <c r="S123" s="271">
        <f t="shared" si="14"/>
        <v>1.1490003519418313E-2</v>
      </c>
    </row>
    <row r="124" spans="1:19" s="271" customFormat="1">
      <c r="A124" s="13"/>
      <c r="B124" s="10"/>
      <c r="C124" s="116"/>
      <c r="D124" s="11"/>
      <c r="E124" s="8" t="str">
        <f xml:space="preserve"> A$41 &amp; " - " &amp; E62</f>
        <v>FD MODEL INPUTS - Indexation rate for index linked debt percentage increase - override</v>
      </c>
      <c r="F124" s="155">
        <f t="shared" ref="F124:S124" si="15">F62</f>
        <v>0</v>
      </c>
      <c r="G124" s="155" t="str">
        <f t="shared" si="15"/>
        <v>%</v>
      </c>
      <c r="H124" s="155">
        <f t="shared" si="15"/>
        <v>0</v>
      </c>
      <c r="I124" s="155">
        <f t="shared" si="15"/>
        <v>0</v>
      </c>
      <c r="J124" s="271">
        <f t="shared" si="15"/>
        <v>0</v>
      </c>
      <c r="K124" s="271">
        <f t="shared" si="15"/>
        <v>0</v>
      </c>
      <c r="L124" s="271">
        <f t="shared" si="15"/>
        <v>0.03</v>
      </c>
      <c r="M124" s="271">
        <f t="shared" si="15"/>
        <v>0.03</v>
      </c>
      <c r="N124" s="271">
        <f t="shared" si="15"/>
        <v>0.03</v>
      </c>
      <c r="O124" s="271">
        <f t="shared" si="15"/>
        <v>0.03</v>
      </c>
      <c r="P124" s="271">
        <f t="shared" si="15"/>
        <v>0.03</v>
      </c>
      <c r="Q124" s="271">
        <f t="shared" si="15"/>
        <v>0.03</v>
      </c>
      <c r="R124" s="271">
        <f t="shared" si="15"/>
        <v>0.03</v>
      </c>
      <c r="S124" s="271">
        <f t="shared" si="15"/>
        <v>0.03</v>
      </c>
    </row>
    <row r="125" spans="1:19" s="271" customFormat="1">
      <c r="A125" s="13"/>
      <c r="B125" s="10"/>
      <c r="C125" s="116"/>
      <c r="D125" s="11"/>
      <c r="E125" s="8" t="str">
        <f xml:space="preserve"> A$41 &amp; " - " &amp; E63</f>
        <v>FD MODEL INPUTS - Notional Cost of Debt override (nominal)</v>
      </c>
      <c r="F125" s="155">
        <f t="shared" ref="F125:S125" si="16">F63</f>
        <v>0</v>
      </c>
      <c r="G125" s="155" t="str">
        <f t="shared" si="16"/>
        <v>%</v>
      </c>
      <c r="H125" s="155">
        <f t="shared" si="16"/>
        <v>0</v>
      </c>
      <c r="I125" s="155">
        <f t="shared" si="16"/>
        <v>0</v>
      </c>
      <c r="J125" s="271">
        <f t="shared" si="16"/>
        <v>0</v>
      </c>
      <c r="K125" s="271">
        <f t="shared" si="16"/>
        <v>0</v>
      </c>
      <c r="L125" s="271">
        <f t="shared" si="16"/>
        <v>4.1834703625000857E-2</v>
      </c>
      <c r="M125" s="271">
        <f t="shared" si="16"/>
        <v>4.1834703625000857E-2</v>
      </c>
      <c r="N125" s="271">
        <f t="shared" si="16"/>
        <v>4.1834703625000857E-2</v>
      </c>
      <c r="O125" s="271">
        <f t="shared" si="16"/>
        <v>4.1834703625000857E-2</v>
      </c>
      <c r="P125" s="271">
        <f t="shared" si="16"/>
        <v>4.1834703625000857E-2</v>
      </c>
      <c r="Q125" s="271">
        <f t="shared" si="16"/>
        <v>4.1834703625000857E-2</v>
      </c>
      <c r="R125" s="271">
        <f t="shared" si="16"/>
        <v>4.1834703625000857E-2</v>
      </c>
      <c r="S125" s="271">
        <f t="shared" si="16"/>
        <v>4.1834703625000857E-2</v>
      </c>
    </row>
    <row r="126" spans="1:19"/>
    <row r="127" spans="1:19">
      <c r="E127" s="8" t="str">
        <f xml:space="preserve"> A$41 &amp; " - " &amp; E65</f>
        <v>FD MODEL INPUTS - Re-profiled revenues active switch - WR, WN, WWN, BR, DMMY</v>
      </c>
      <c r="F127" s="155">
        <f>F65</f>
        <v>0</v>
      </c>
      <c r="G127" s="155" t="str">
        <f>G65</f>
        <v>1 = Active, 0 = Inactive</v>
      </c>
    </row>
    <row r="128" spans="1:19">
      <c r="F128" s="155"/>
      <c r="G128" s="155"/>
    </row>
    <row r="129" spans="1:19">
      <c r="E129" s="8" t="str">
        <f xml:space="preserve"> A$41 &amp; " - " &amp; E67</f>
        <v>FD MODEL INPUTS - Total 5 year model integrity checks</v>
      </c>
      <c r="F129" s="155">
        <f>F67</f>
        <v>0</v>
      </c>
      <c r="G129" s="155" t="str">
        <f>G67</f>
        <v>checks</v>
      </c>
    </row>
    <row r="130" spans="1:19">
      <c r="B130" s="64"/>
      <c r="C130" s="115"/>
      <c r="D130" s="59"/>
      <c r="F130" s="155"/>
    </row>
    <row r="131" spans="1:19" s="155" customFormat="1">
      <c r="A131" s="13"/>
      <c r="B131" s="64"/>
      <c r="C131" s="115"/>
      <c r="D131" s="59"/>
      <c r="E131" s="8" t="str">
        <f xml:space="preserve"> A$41 &amp; " - " &amp; E69</f>
        <v>FD MODEL INPUTS - Totex - Tax allowance switch - WR</v>
      </c>
      <c r="F131" s="155">
        <f t="shared" ref="F131:S131" si="17">F69</f>
        <v>0</v>
      </c>
      <c r="G131" s="155" t="str">
        <f t="shared" si="17"/>
        <v>0 = Allowed, 1 = Not allowed</v>
      </c>
      <c r="H131" s="155">
        <f t="shared" si="17"/>
        <v>0</v>
      </c>
      <c r="I131" s="155">
        <f t="shared" si="17"/>
        <v>0</v>
      </c>
      <c r="J131" s="155" t="str">
        <f t="shared" si="17"/>
        <v>na</v>
      </c>
      <c r="K131" s="155" t="str">
        <f t="shared" si="17"/>
        <v>na</v>
      </c>
      <c r="L131" s="155">
        <f t="shared" si="17"/>
        <v>1</v>
      </c>
      <c r="M131" s="155">
        <f t="shared" si="17"/>
        <v>1</v>
      </c>
      <c r="N131" s="155">
        <f t="shared" si="17"/>
        <v>1</v>
      </c>
      <c r="O131" s="155">
        <f t="shared" si="17"/>
        <v>1</v>
      </c>
      <c r="P131" s="155">
        <f t="shared" si="17"/>
        <v>1</v>
      </c>
      <c r="Q131" s="155">
        <f t="shared" si="17"/>
        <v>0</v>
      </c>
      <c r="R131" s="155">
        <f t="shared" si="17"/>
        <v>0</v>
      </c>
      <c r="S131" s="155">
        <f t="shared" si="17"/>
        <v>0</v>
      </c>
    </row>
    <row r="132" spans="1:19" s="155" customFormat="1">
      <c r="A132" s="13"/>
      <c r="B132" s="64"/>
      <c r="C132" s="115"/>
      <c r="D132" s="59"/>
      <c r="E132" s="8" t="str">
        <f xml:space="preserve"> A$41 &amp; " - " &amp; E70</f>
        <v>FD MODEL INPUTS - Totex - Tax allowance switch - WN</v>
      </c>
      <c r="F132" s="155">
        <f t="shared" ref="F132:S132" si="18">F70</f>
        <v>0</v>
      </c>
      <c r="G132" s="155" t="str">
        <f t="shared" si="18"/>
        <v>0 = Allowed, 1 = Not allowed</v>
      </c>
      <c r="H132" s="155">
        <f t="shared" si="18"/>
        <v>0</v>
      </c>
      <c r="I132" s="155">
        <f t="shared" si="18"/>
        <v>0</v>
      </c>
      <c r="J132" s="155" t="str">
        <f t="shared" si="18"/>
        <v>na</v>
      </c>
      <c r="K132" s="155" t="str">
        <f t="shared" si="18"/>
        <v>na</v>
      </c>
      <c r="L132" s="155">
        <f t="shared" si="18"/>
        <v>1</v>
      </c>
      <c r="M132" s="155">
        <f t="shared" si="18"/>
        <v>1</v>
      </c>
      <c r="N132" s="155">
        <f t="shared" si="18"/>
        <v>1</v>
      </c>
      <c r="O132" s="155">
        <f t="shared" si="18"/>
        <v>1</v>
      </c>
      <c r="P132" s="155">
        <f t="shared" si="18"/>
        <v>1</v>
      </c>
      <c r="Q132" s="155">
        <f t="shared" si="18"/>
        <v>0</v>
      </c>
      <c r="R132" s="155">
        <f t="shared" si="18"/>
        <v>0</v>
      </c>
      <c r="S132" s="155">
        <f t="shared" si="18"/>
        <v>0</v>
      </c>
    </row>
    <row r="133" spans="1:19" s="155" customFormat="1">
      <c r="A133" s="13"/>
      <c r="B133" s="64"/>
      <c r="C133" s="115"/>
      <c r="D133" s="59"/>
      <c r="E133" s="8" t="str">
        <f xml:space="preserve"> A$41 &amp; " - " &amp; E71</f>
        <v>FD MODEL INPUTS - Totex - Tax allowance switch - WWN</v>
      </c>
      <c r="F133" s="155">
        <f t="shared" ref="F133:S133" si="19">F71</f>
        <v>0</v>
      </c>
      <c r="G133" s="155" t="str">
        <f t="shared" si="19"/>
        <v>0 = Allowed, 1 = Not allowed</v>
      </c>
      <c r="H133" s="155">
        <f t="shared" si="19"/>
        <v>0</v>
      </c>
      <c r="I133" s="155">
        <f t="shared" si="19"/>
        <v>0</v>
      </c>
      <c r="J133" s="155" t="str">
        <f t="shared" si="19"/>
        <v>na</v>
      </c>
      <c r="K133" s="155" t="str">
        <f t="shared" si="19"/>
        <v>na</v>
      </c>
      <c r="L133" s="155">
        <f t="shared" si="19"/>
        <v>1</v>
      </c>
      <c r="M133" s="155">
        <f t="shared" si="19"/>
        <v>1</v>
      </c>
      <c r="N133" s="155">
        <f t="shared" si="19"/>
        <v>1</v>
      </c>
      <c r="O133" s="155">
        <f t="shared" si="19"/>
        <v>1</v>
      </c>
      <c r="P133" s="155">
        <f t="shared" si="19"/>
        <v>1</v>
      </c>
      <c r="Q133" s="155">
        <f t="shared" si="19"/>
        <v>0</v>
      </c>
      <c r="R133" s="155">
        <f t="shared" si="19"/>
        <v>0</v>
      </c>
      <c r="S133" s="155">
        <f t="shared" si="19"/>
        <v>0</v>
      </c>
    </row>
    <row r="134" spans="1:19" s="155" customFormat="1">
      <c r="A134" s="13"/>
      <c r="B134" s="64"/>
      <c r="C134" s="115"/>
      <c r="D134" s="59"/>
      <c r="E134" s="8" t="str">
        <f xml:space="preserve"> A$41 &amp; " - " &amp; E72</f>
        <v>FD MODEL INPUTS - Totex - Tax allowance switch - BR</v>
      </c>
      <c r="F134" s="155">
        <f t="shared" ref="F134:S134" si="20">F72</f>
        <v>0</v>
      </c>
      <c r="G134" s="155" t="str">
        <f t="shared" si="20"/>
        <v>0 = Allowed, 1 = Not allowed</v>
      </c>
      <c r="H134" s="155">
        <f t="shared" si="20"/>
        <v>0</v>
      </c>
      <c r="I134" s="155">
        <f t="shared" si="20"/>
        <v>0</v>
      </c>
      <c r="J134" s="155" t="str">
        <f t="shared" si="20"/>
        <v>na</v>
      </c>
      <c r="K134" s="155" t="str">
        <f t="shared" si="20"/>
        <v>na</v>
      </c>
      <c r="L134" s="155">
        <f t="shared" si="20"/>
        <v>1</v>
      </c>
      <c r="M134" s="155">
        <f t="shared" si="20"/>
        <v>1</v>
      </c>
      <c r="N134" s="155">
        <f t="shared" si="20"/>
        <v>1</v>
      </c>
      <c r="O134" s="155">
        <f t="shared" si="20"/>
        <v>1</v>
      </c>
      <c r="P134" s="155">
        <f t="shared" si="20"/>
        <v>1</v>
      </c>
      <c r="Q134" s="155">
        <f t="shared" si="20"/>
        <v>0</v>
      </c>
      <c r="R134" s="155">
        <f t="shared" si="20"/>
        <v>0</v>
      </c>
      <c r="S134" s="155">
        <f t="shared" si="20"/>
        <v>0</v>
      </c>
    </row>
    <row r="135" spans="1:19" s="155" customFormat="1">
      <c r="A135" s="13"/>
      <c r="B135" s="64"/>
      <c r="C135" s="115"/>
      <c r="D135" s="59"/>
      <c r="E135" s="8" t="str">
        <f xml:space="preserve"> A$41 &amp; " - " &amp; E73</f>
        <v>FD MODEL INPUTS - Totex - Tax allowance switch - DMMY</v>
      </c>
      <c r="F135" s="155">
        <f t="shared" ref="F135:S135" si="21">F73</f>
        <v>0</v>
      </c>
      <c r="G135" s="155" t="str">
        <f t="shared" si="21"/>
        <v>0 = Allowed, 1 = Not allowed</v>
      </c>
      <c r="H135" s="155">
        <f t="shared" si="21"/>
        <v>0</v>
      </c>
      <c r="I135" s="155">
        <f t="shared" si="21"/>
        <v>0</v>
      </c>
      <c r="J135" s="155" t="str">
        <f t="shared" si="21"/>
        <v>na</v>
      </c>
      <c r="K135" s="155" t="str">
        <f t="shared" si="21"/>
        <v>na</v>
      </c>
      <c r="L135" s="155">
        <f t="shared" si="21"/>
        <v>0</v>
      </c>
      <c r="M135" s="155">
        <f t="shared" si="21"/>
        <v>0</v>
      </c>
      <c r="N135" s="155">
        <f t="shared" si="21"/>
        <v>0</v>
      </c>
      <c r="O135" s="155">
        <f t="shared" si="21"/>
        <v>0</v>
      </c>
      <c r="P135" s="155">
        <f t="shared" si="21"/>
        <v>0</v>
      </c>
      <c r="Q135" s="155">
        <f t="shared" si="21"/>
        <v>0</v>
      </c>
      <c r="R135" s="155">
        <f t="shared" si="21"/>
        <v>0</v>
      </c>
      <c r="S135" s="155">
        <f t="shared" si="21"/>
        <v>0</v>
      </c>
    </row>
    <row r="136" spans="1:19" s="155" customFormat="1">
      <c r="A136" s="13"/>
      <c r="B136" s="64"/>
      <c r="C136" s="115"/>
      <c r="D136" s="59"/>
      <c r="E136" s="8"/>
    </row>
    <row r="137" spans="1:19" s="155" customFormat="1">
      <c r="A137" s="13"/>
      <c r="B137" s="64"/>
      <c r="C137" s="115"/>
      <c r="D137" s="59"/>
      <c r="E137" s="8" t="str">
        <f xml:space="preserve"> A$41 &amp; " - " &amp; E75</f>
        <v>FD MODEL INPUTS - WRFIM - Tax allowance switch - WR</v>
      </c>
      <c r="F137" s="155">
        <f t="shared" ref="F137:S137" si="22">F75</f>
        <v>0</v>
      </c>
      <c r="G137" s="155" t="str">
        <f t="shared" si="22"/>
        <v>0 = Allowed, 1 = Not allowed</v>
      </c>
      <c r="H137" s="155">
        <f t="shared" si="22"/>
        <v>0</v>
      </c>
      <c r="I137" s="155">
        <f t="shared" si="22"/>
        <v>0</v>
      </c>
      <c r="J137" s="155" t="str">
        <f t="shared" si="22"/>
        <v>na</v>
      </c>
      <c r="K137" s="155" t="str">
        <f t="shared" si="22"/>
        <v>na</v>
      </c>
      <c r="L137" s="155">
        <f t="shared" si="22"/>
        <v>1</v>
      </c>
      <c r="M137" s="155">
        <f t="shared" si="22"/>
        <v>1</v>
      </c>
      <c r="N137" s="155">
        <f t="shared" si="22"/>
        <v>1</v>
      </c>
      <c r="O137" s="155">
        <f t="shared" si="22"/>
        <v>1</v>
      </c>
      <c r="P137" s="155">
        <f t="shared" si="22"/>
        <v>1</v>
      </c>
      <c r="Q137" s="155">
        <f t="shared" si="22"/>
        <v>0</v>
      </c>
      <c r="R137" s="155">
        <f t="shared" si="22"/>
        <v>0</v>
      </c>
      <c r="S137" s="155">
        <f t="shared" si="22"/>
        <v>0</v>
      </c>
    </row>
    <row r="138" spans="1:19" s="155" customFormat="1">
      <c r="A138" s="13"/>
      <c r="B138" s="64"/>
      <c r="C138" s="115"/>
      <c r="D138" s="59"/>
      <c r="E138" s="8" t="str">
        <f xml:space="preserve"> A$41 &amp; " - " &amp; E76</f>
        <v>FD MODEL INPUTS - WRFIM - Tax allowance switch - WN</v>
      </c>
      <c r="F138" s="155">
        <f t="shared" ref="F138:S138" si="23">F76</f>
        <v>0</v>
      </c>
      <c r="G138" s="155" t="str">
        <f t="shared" si="23"/>
        <v>0 = Allowed, 1 = Not allowed</v>
      </c>
      <c r="H138" s="155">
        <f t="shared" si="23"/>
        <v>0</v>
      </c>
      <c r="I138" s="155">
        <f t="shared" si="23"/>
        <v>0</v>
      </c>
      <c r="J138" s="155" t="str">
        <f t="shared" si="23"/>
        <v>na</v>
      </c>
      <c r="K138" s="155" t="str">
        <f t="shared" si="23"/>
        <v>na</v>
      </c>
      <c r="L138" s="155">
        <f t="shared" si="23"/>
        <v>1</v>
      </c>
      <c r="M138" s="155">
        <f t="shared" si="23"/>
        <v>1</v>
      </c>
      <c r="N138" s="155">
        <f t="shared" si="23"/>
        <v>1</v>
      </c>
      <c r="O138" s="155">
        <f t="shared" si="23"/>
        <v>1</v>
      </c>
      <c r="P138" s="155">
        <f t="shared" si="23"/>
        <v>1</v>
      </c>
      <c r="Q138" s="155">
        <f t="shared" si="23"/>
        <v>0</v>
      </c>
      <c r="R138" s="155">
        <f t="shared" si="23"/>
        <v>0</v>
      </c>
      <c r="S138" s="155">
        <f t="shared" si="23"/>
        <v>0</v>
      </c>
    </row>
    <row r="139" spans="1:19" s="155" customFormat="1">
      <c r="A139" s="13"/>
      <c r="B139" s="64"/>
      <c r="C139" s="115"/>
      <c r="D139" s="59"/>
      <c r="E139" s="8" t="str">
        <f xml:space="preserve"> A$41 &amp; " - " &amp; E77</f>
        <v>FD MODEL INPUTS - WRFIM - Tax allowance switch - WWN</v>
      </c>
      <c r="F139" s="155">
        <f t="shared" ref="F139:S139" si="24">F77</f>
        <v>0</v>
      </c>
      <c r="G139" s="155" t="str">
        <f t="shared" si="24"/>
        <v>0 = Allowed, 1 = Not allowed</v>
      </c>
      <c r="H139" s="155">
        <f t="shared" si="24"/>
        <v>0</v>
      </c>
      <c r="I139" s="155">
        <f t="shared" si="24"/>
        <v>0</v>
      </c>
      <c r="J139" s="155" t="str">
        <f t="shared" si="24"/>
        <v>na</v>
      </c>
      <c r="K139" s="155" t="str">
        <f t="shared" si="24"/>
        <v>na</v>
      </c>
      <c r="L139" s="155">
        <f t="shared" si="24"/>
        <v>1</v>
      </c>
      <c r="M139" s="155">
        <f t="shared" si="24"/>
        <v>1</v>
      </c>
      <c r="N139" s="155">
        <f t="shared" si="24"/>
        <v>1</v>
      </c>
      <c r="O139" s="155">
        <f t="shared" si="24"/>
        <v>1</v>
      </c>
      <c r="P139" s="155">
        <f t="shared" si="24"/>
        <v>1</v>
      </c>
      <c r="Q139" s="155">
        <f t="shared" si="24"/>
        <v>0</v>
      </c>
      <c r="R139" s="155">
        <f t="shared" si="24"/>
        <v>0</v>
      </c>
      <c r="S139" s="155">
        <f t="shared" si="24"/>
        <v>0</v>
      </c>
    </row>
    <row r="140" spans="1:19" s="155" customFormat="1">
      <c r="A140" s="13"/>
      <c r="B140" s="64"/>
      <c r="C140" s="115"/>
      <c r="D140" s="59"/>
      <c r="E140" s="8" t="str">
        <f xml:space="preserve"> A$41 &amp; " - " &amp; E78</f>
        <v>FD MODEL INPUTS - WRFIM - Tax allowance switch - BR</v>
      </c>
      <c r="F140" s="155">
        <f t="shared" ref="F140:S140" si="25">F78</f>
        <v>0</v>
      </c>
      <c r="G140" s="155" t="str">
        <f t="shared" si="25"/>
        <v>0 = Allowed, 1 = Not allowed</v>
      </c>
      <c r="H140" s="155">
        <f t="shared" si="25"/>
        <v>0</v>
      </c>
      <c r="I140" s="155">
        <f t="shared" si="25"/>
        <v>0</v>
      </c>
      <c r="J140" s="155" t="str">
        <f t="shared" si="25"/>
        <v>na</v>
      </c>
      <c r="K140" s="155" t="str">
        <f t="shared" si="25"/>
        <v>na</v>
      </c>
      <c r="L140" s="155">
        <f t="shared" si="25"/>
        <v>1</v>
      </c>
      <c r="M140" s="155">
        <f t="shared" si="25"/>
        <v>1</v>
      </c>
      <c r="N140" s="155">
        <f t="shared" si="25"/>
        <v>1</v>
      </c>
      <c r="O140" s="155">
        <f t="shared" si="25"/>
        <v>1</v>
      </c>
      <c r="P140" s="155">
        <f t="shared" si="25"/>
        <v>1</v>
      </c>
      <c r="Q140" s="155">
        <f t="shared" si="25"/>
        <v>0</v>
      </c>
      <c r="R140" s="155">
        <f t="shared" si="25"/>
        <v>0</v>
      </c>
      <c r="S140" s="155">
        <f t="shared" si="25"/>
        <v>0</v>
      </c>
    </row>
    <row r="141" spans="1:19" s="155" customFormat="1">
      <c r="A141" s="13"/>
      <c r="B141" s="64"/>
      <c r="C141" s="115"/>
      <c r="D141" s="59"/>
      <c r="E141" s="8" t="str">
        <f xml:space="preserve"> A$41 &amp; " - " &amp; E79</f>
        <v>FD MODEL INPUTS - WRFIM - Tax allowance switch - DMMY</v>
      </c>
      <c r="F141" s="155">
        <f t="shared" ref="F141:S141" si="26">F79</f>
        <v>0</v>
      </c>
      <c r="G141" s="155" t="str">
        <f t="shared" si="26"/>
        <v>0 = Allowed, 1 = Not allowed</v>
      </c>
      <c r="H141" s="155">
        <f t="shared" si="26"/>
        <v>0</v>
      </c>
      <c r="I141" s="155">
        <f t="shared" si="26"/>
        <v>0</v>
      </c>
      <c r="J141" s="155" t="str">
        <f t="shared" si="26"/>
        <v>na</v>
      </c>
      <c r="K141" s="155" t="str">
        <f t="shared" si="26"/>
        <v>na</v>
      </c>
      <c r="L141" s="155">
        <f t="shared" si="26"/>
        <v>0</v>
      </c>
      <c r="M141" s="155">
        <f t="shared" si="26"/>
        <v>0</v>
      </c>
      <c r="N141" s="155">
        <f t="shared" si="26"/>
        <v>0</v>
      </c>
      <c r="O141" s="155">
        <f t="shared" si="26"/>
        <v>0</v>
      </c>
      <c r="P141" s="155">
        <f t="shared" si="26"/>
        <v>0</v>
      </c>
      <c r="Q141" s="155">
        <f t="shared" si="26"/>
        <v>0</v>
      </c>
      <c r="R141" s="155">
        <f t="shared" si="26"/>
        <v>0</v>
      </c>
      <c r="S141" s="155">
        <f t="shared" si="26"/>
        <v>0</v>
      </c>
    </row>
    <row r="142" spans="1:19" s="155" customFormat="1">
      <c r="A142" s="13"/>
      <c r="B142" s="64"/>
      <c r="C142" s="115"/>
      <c r="D142" s="59"/>
      <c r="E142" s="8"/>
    </row>
    <row r="143" spans="1:19" s="155" customFormat="1">
      <c r="A143" s="13"/>
      <c r="B143" s="64"/>
      <c r="C143" s="115"/>
      <c r="D143" s="59"/>
      <c r="E143" s="8" t="str">
        <f xml:space="preserve"> A$41 &amp; " - " &amp; E81</f>
        <v>FD MODEL INPUTS - Totex - Tax allowance 5 year alert - WR</v>
      </c>
      <c r="F143" s="155">
        <f t="shared" ref="F143:G147" si="27">F81</f>
        <v>0</v>
      </c>
      <c r="G143" s="155" t="str">
        <f t="shared" si="27"/>
        <v>alert</v>
      </c>
    </row>
    <row r="144" spans="1:19" s="155" customFormat="1">
      <c r="A144" s="13"/>
      <c r="B144" s="64"/>
      <c r="C144" s="115"/>
      <c r="D144" s="59"/>
      <c r="E144" s="8" t="str">
        <f xml:space="preserve"> A$41 &amp; " - " &amp; E82</f>
        <v>FD MODEL INPUTS - Totex - Tax allowance 5 year alert - WN</v>
      </c>
      <c r="F144" s="155">
        <f t="shared" si="27"/>
        <v>0</v>
      </c>
      <c r="G144" s="155" t="str">
        <f t="shared" si="27"/>
        <v>alert</v>
      </c>
    </row>
    <row r="145" spans="1:19" s="155" customFormat="1">
      <c r="A145" s="13"/>
      <c r="B145" s="64"/>
      <c r="C145" s="115"/>
      <c r="D145" s="59"/>
      <c r="E145" s="8" t="str">
        <f xml:space="preserve"> A$41 &amp; " - " &amp; E83</f>
        <v>FD MODEL INPUTS - Totex - Tax allowance 5 year alert - WWN</v>
      </c>
      <c r="F145" s="155">
        <f t="shared" si="27"/>
        <v>0</v>
      </c>
      <c r="G145" s="155" t="str">
        <f t="shared" si="27"/>
        <v>alert</v>
      </c>
    </row>
    <row r="146" spans="1:19" s="155" customFormat="1">
      <c r="A146" s="13"/>
      <c r="B146" s="64"/>
      <c r="C146" s="115"/>
      <c r="D146" s="59"/>
      <c r="E146" s="8" t="str">
        <f xml:space="preserve"> A$41 &amp; " - " &amp; E84</f>
        <v>FD MODEL INPUTS - Totex - Tax allowance 5 year alert - BR</v>
      </c>
      <c r="F146" s="155">
        <f t="shared" si="27"/>
        <v>0</v>
      </c>
      <c r="G146" s="155" t="str">
        <f t="shared" si="27"/>
        <v>alert</v>
      </c>
    </row>
    <row r="147" spans="1:19" s="155" customFormat="1">
      <c r="A147" s="13"/>
      <c r="B147" s="64"/>
      <c r="C147" s="115"/>
      <c r="D147" s="59"/>
      <c r="E147" s="8" t="str">
        <f xml:space="preserve"> A$41 &amp; " - " &amp; E85</f>
        <v>FD MODEL INPUTS - Totex - Tax allowance 5 year alert - DMMY</v>
      </c>
      <c r="F147" s="155">
        <f t="shared" si="27"/>
        <v>0</v>
      </c>
      <c r="G147" s="155" t="str">
        <f t="shared" si="27"/>
        <v>alert</v>
      </c>
    </row>
    <row r="148" spans="1:19" s="155" customFormat="1">
      <c r="A148" s="13"/>
      <c r="B148" s="64"/>
      <c r="C148" s="115"/>
      <c r="D148" s="59"/>
      <c r="E148" s="8"/>
    </row>
    <row r="149" spans="1:19" s="155" customFormat="1">
      <c r="A149" s="13"/>
      <c r="B149" s="64"/>
      <c r="C149" s="115"/>
      <c r="D149" s="59"/>
      <c r="E149" s="8" t="str">
        <f xml:space="preserve"> A$41 &amp; " - " &amp; E87</f>
        <v>FD MODEL INPUTS - WRFIM - Tax allowance 5 year alert - WR</v>
      </c>
      <c r="F149" s="155">
        <f t="shared" ref="F149:G153" si="28">F87</f>
        <v>0</v>
      </c>
      <c r="G149" s="155" t="str">
        <f t="shared" si="28"/>
        <v>alert</v>
      </c>
    </row>
    <row r="150" spans="1:19" s="155" customFormat="1">
      <c r="A150" s="13"/>
      <c r="B150" s="64"/>
      <c r="C150" s="115"/>
      <c r="D150" s="59"/>
      <c r="E150" s="8" t="str">
        <f xml:space="preserve"> A$41 &amp; " - " &amp; E88</f>
        <v>FD MODEL INPUTS - WRFIM - Tax allowance 5 year alert - WN</v>
      </c>
      <c r="F150" s="155">
        <f t="shared" si="28"/>
        <v>0</v>
      </c>
      <c r="G150" s="155" t="str">
        <f t="shared" si="28"/>
        <v>alert</v>
      </c>
    </row>
    <row r="151" spans="1:19" s="155" customFormat="1">
      <c r="A151" s="13"/>
      <c r="B151" s="64"/>
      <c r="C151" s="115"/>
      <c r="D151" s="59"/>
      <c r="E151" s="8" t="str">
        <f xml:space="preserve"> A$41 &amp; " - " &amp; E89</f>
        <v>FD MODEL INPUTS - WRFIM - Tax allowance 5 year alert - WWN</v>
      </c>
      <c r="F151" s="155">
        <f t="shared" si="28"/>
        <v>0</v>
      </c>
      <c r="G151" s="155" t="str">
        <f t="shared" si="28"/>
        <v>alert</v>
      </c>
    </row>
    <row r="152" spans="1:19" s="155" customFormat="1">
      <c r="A152" s="13"/>
      <c r="B152" s="64"/>
      <c r="C152" s="115"/>
      <c r="D152" s="59"/>
      <c r="E152" s="8" t="str">
        <f xml:space="preserve"> A$41 &amp; " - " &amp; E90</f>
        <v>FD MODEL INPUTS - WRFIM - Tax allowance 5 year alert - BR</v>
      </c>
      <c r="F152" s="155">
        <f t="shared" si="28"/>
        <v>0</v>
      </c>
      <c r="G152" s="155" t="str">
        <f t="shared" si="28"/>
        <v>alert</v>
      </c>
    </row>
    <row r="153" spans="1:19" s="155" customFormat="1">
      <c r="A153" s="13"/>
      <c r="B153" s="64"/>
      <c r="C153" s="115"/>
      <c r="D153" s="59"/>
      <c r="E153" s="8" t="str">
        <f xml:space="preserve"> A$41 &amp; " - " &amp; E91</f>
        <v>FD MODEL INPUTS - WRFIM - Tax allowance 5 year alert - DMMY</v>
      </c>
      <c r="F153" s="155">
        <f t="shared" si="28"/>
        <v>0</v>
      </c>
      <c r="G153" s="155" t="str">
        <f t="shared" si="28"/>
        <v>alert</v>
      </c>
    </row>
    <row r="154" spans="1:19">
      <c r="B154" s="64"/>
      <c r="C154" s="115"/>
      <c r="D154" s="59"/>
    </row>
    <row r="155" spans="1:19">
      <c r="E155" s="8" t="str">
        <f xml:space="preserve"> A$41 &amp; " - " &amp; E93</f>
        <v>FD MODEL INPUTS - Water resources - Totex (+ or -) Value Chosen - active - adjusted - real</v>
      </c>
      <c r="F155" s="155">
        <f t="shared" ref="F155:S155" si="29">F93</f>
        <v>0</v>
      </c>
      <c r="G155" s="155" t="str">
        <f t="shared" si="29"/>
        <v>£m</v>
      </c>
      <c r="H155" s="155">
        <f t="shared" si="29"/>
        <v>0</v>
      </c>
      <c r="I155" s="155">
        <f t="shared" si="29"/>
        <v>0</v>
      </c>
      <c r="J155" s="155">
        <f t="shared" si="29"/>
        <v>0</v>
      </c>
      <c r="K155" s="155">
        <f t="shared" si="29"/>
        <v>0</v>
      </c>
      <c r="L155" s="155">
        <f t="shared" si="29"/>
        <v>0</v>
      </c>
      <c r="M155" s="155">
        <f t="shared" si="29"/>
        <v>0</v>
      </c>
      <c r="N155" s="155">
        <f t="shared" si="29"/>
        <v>0</v>
      </c>
      <c r="O155" s="155">
        <f t="shared" si="29"/>
        <v>0</v>
      </c>
      <c r="P155" s="155">
        <f t="shared" si="29"/>
        <v>0</v>
      </c>
      <c r="Q155" s="155">
        <f t="shared" si="29"/>
        <v>0</v>
      </c>
      <c r="R155" s="155">
        <f t="shared" si="29"/>
        <v>0</v>
      </c>
      <c r="S155" s="155">
        <f t="shared" si="29"/>
        <v>0</v>
      </c>
    </row>
    <row r="156" spans="1:19">
      <c r="E156" s="8" t="str">
        <f t="shared" ref="E156:E165" si="30" xml:space="preserve"> A$41 &amp; " - " &amp; E94</f>
        <v>FD MODEL INPUTS - Water network - Totex (+ or -) Value Chosen - active - adjusted - real</v>
      </c>
      <c r="F156" s="155">
        <f t="shared" ref="F156:S156" si="31">F94</f>
        <v>0</v>
      </c>
      <c r="G156" s="155" t="str">
        <f t="shared" si="31"/>
        <v>£m</v>
      </c>
      <c r="H156" s="155">
        <f t="shared" si="31"/>
        <v>43.588459437050524</v>
      </c>
      <c r="I156" s="155">
        <f t="shared" si="31"/>
        <v>0</v>
      </c>
      <c r="J156" s="155">
        <f t="shared" si="31"/>
        <v>0</v>
      </c>
      <c r="K156" s="155">
        <f t="shared" si="31"/>
        <v>0</v>
      </c>
      <c r="L156" s="155">
        <f t="shared" si="31"/>
        <v>8.7176918874101048</v>
      </c>
      <c r="M156" s="155">
        <f t="shared" si="31"/>
        <v>8.7176918874101048</v>
      </c>
      <c r="N156" s="155">
        <f t="shared" si="31"/>
        <v>8.7176918874101048</v>
      </c>
      <c r="O156" s="155">
        <f t="shared" si="31"/>
        <v>8.7176918874101048</v>
      </c>
      <c r="P156" s="155">
        <f t="shared" si="31"/>
        <v>8.7176918874101048</v>
      </c>
      <c r="Q156" s="155">
        <f t="shared" si="31"/>
        <v>0</v>
      </c>
      <c r="R156" s="155">
        <f t="shared" si="31"/>
        <v>0</v>
      </c>
      <c r="S156" s="155">
        <f t="shared" si="31"/>
        <v>0</v>
      </c>
    </row>
    <row r="157" spans="1:19">
      <c r="E157" s="8" t="str">
        <f t="shared" si="30"/>
        <v>FD MODEL INPUTS - Wastewater network - Totex (+ or -) Value Chosen - active - adjusted - real</v>
      </c>
      <c r="F157" s="155">
        <f t="shared" ref="F157:S157" si="32">F95</f>
        <v>0</v>
      </c>
      <c r="G157" s="155" t="str">
        <f t="shared" si="32"/>
        <v>£m</v>
      </c>
      <c r="H157" s="155">
        <f t="shared" si="32"/>
        <v>9.8277680478359741</v>
      </c>
      <c r="I157" s="155">
        <f t="shared" si="32"/>
        <v>0</v>
      </c>
      <c r="J157" s="155">
        <f t="shared" si="32"/>
        <v>0</v>
      </c>
      <c r="K157" s="155">
        <f t="shared" si="32"/>
        <v>0</v>
      </c>
      <c r="L157" s="155">
        <f t="shared" si="32"/>
        <v>1.9655536095671948</v>
      </c>
      <c r="M157" s="155">
        <f t="shared" si="32"/>
        <v>1.9655536095671948</v>
      </c>
      <c r="N157" s="155">
        <f t="shared" si="32"/>
        <v>1.9655536095671948</v>
      </c>
      <c r="O157" s="155">
        <f t="shared" si="32"/>
        <v>1.9655536095671948</v>
      </c>
      <c r="P157" s="155">
        <f t="shared" si="32"/>
        <v>1.9655536095671948</v>
      </c>
      <c r="Q157" s="155">
        <f t="shared" si="32"/>
        <v>0</v>
      </c>
      <c r="R157" s="155">
        <f t="shared" si="32"/>
        <v>0</v>
      </c>
      <c r="S157" s="155">
        <f t="shared" si="32"/>
        <v>0</v>
      </c>
    </row>
    <row r="158" spans="1:19">
      <c r="E158" s="8" t="str">
        <f t="shared" si="30"/>
        <v>FD MODEL INPUTS - Bio resources - Totex (+ or -) Value Chosen - active - adjusted - real</v>
      </c>
      <c r="F158" s="155">
        <f t="shared" ref="F158:S158" si="33">F96</f>
        <v>0</v>
      </c>
      <c r="G158" s="155" t="str">
        <f t="shared" si="33"/>
        <v>£m</v>
      </c>
      <c r="H158" s="155">
        <f t="shared" si="33"/>
        <v>0</v>
      </c>
      <c r="I158" s="155">
        <f t="shared" si="33"/>
        <v>0</v>
      </c>
      <c r="J158" s="155">
        <f t="shared" si="33"/>
        <v>0</v>
      </c>
      <c r="K158" s="155">
        <f t="shared" si="33"/>
        <v>0</v>
      </c>
      <c r="L158" s="155">
        <f t="shared" si="33"/>
        <v>0</v>
      </c>
      <c r="M158" s="155">
        <f t="shared" si="33"/>
        <v>0</v>
      </c>
      <c r="N158" s="155">
        <f t="shared" si="33"/>
        <v>0</v>
      </c>
      <c r="O158" s="155">
        <f t="shared" si="33"/>
        <v>0</v>
      </c>
      <c r="P158" s="155">
        <f t="shared" si="33"/>
        <v>0</v>
      </c>
      <c r="Q158" s="155">
        <f t="shared" si="33"/>
        <v>0</v>
      </c>
      <c r="R158" s="155">
        <f t="shared" si="33"/>
        <v>0</v>
      </c>
      <c r="S158" s="155">
        <f t="shared" si="33"/>
        <v>0</v>
      </c>
    </row>
    <row r="159" spans="1:19">
      <c r="E159" s="8" t="str">
        <f t="shared" si="30"/>
        <v>FD MODEL INPUTS - Dummy control - Totex (+ or -) Value Chosen - active - adjusted - real</v>
      </c>
      <c r="F159" s="155">
        <f t="shared" ref="F159:S159" si="34">F97</f>
        <v>0</v>
      </c>
      <c r="G159" s="155" t="str">
        <f t="shared" si="34"/>
        <v>£m</v>
      </c>
      <c r="H159" s="155">
        <f t="shared" si="34"/>
        <v>0</v>
      </c>
      <c r="I159" s="155">
        <f t="shared" si="34"/>
        <v>0</v>
      </c>
      <c r="J159" s="155">
        <f t="shared" si="34"/>
        <v>0</v>
      </c>
      <c r="K159" s="155">
        <f t="shared" si="34"/>
        <v>0</v>
      </c>
      <c r="L159" s="155">
        <f t="shared" si="34"/>
        <v>0</v>
      </c>
      <c r="M159" s="155">
        <f t="shared" si="34"/>
        <v>0</v>
      </c>
      <c r="N159" s="155">
        <f t="shared" si="34"/>
        <v>0</v>
      </c>
      <c r="O159" s="155">
        <f t="shared" si="34"/>
        <v>0</v>
      </c>
      <c r="P159" s="155">
        <f t="shared" si="34"/>
        <v>0</v>
      </c>
      <c r="Q159" s="155">
        <f t="shared" si="34"/>
        <v>0</v>
      </c>
      <c r="R159" s="155">
        <f t="shared" si="34"/>
        <v>0</v>
      </c>
      <c r="S159" s="155">
        <f t="shared" si="34"/>
        <v>0</v>
      </c>
    </row>
    <row r="160" spans="1:19"/>
    <row r="161" spans="1:19">
      <c r="E161" s="8" t="str">
        <f t="shared" si="30"/>
        <v>FD MODEL INPUTS - Water resources - WRFIM (+ or -) Value Chosen - active - adjusted - real</v>
      </c>
      <c r="F161" s="155">
        <f t="shared" ref="F161:S161" si="35">F99</f>
        <v>0</v>
      </c>
      <c r="G161" s="155" t="str">
        <f t="shared" si="35"/>
        <v>£m</v>
      </c>
      <c r="H161" s="155">
        <f t="shared" si="35"/>
        <v>0</v>
      </c>
      <c r="I161" s="155">
        <f t="shared" si="35"/>
        <v>0</v>
      </c>
      <c r="J161" s="155">
        <f t="shared" si="35"/>
        <v>0</v>
      </c>
      <c r="K161" s="155">
        <f t="shared" si="35"/>
        <v>0</v>
      </c>
      <c r="L161" s="155">
        <f t="shared" si="35"/>
        <v>0</v>
      </c>
      <c r="M161" s="155">
        <f t="shared" si="35"/>
        <v>0</v>
      </c>
      <c r="N161" s="155">
        <f t="shared" si="35"/>
        <v>0</v>
      </c>
      <c r="O161" s="155">
        <f t="shared" si="35"/>
        <v>0</v>
      </c>
      <c r="P161" s="155">
        <f t="shared" si="35"/>
        <v>0</v>
      </c>
      <c r="Q161" s="155">
        <f t="shared" si="35"/>
        <v>0</v>
      </c>
      <c r="R161" s="155">
        <f t="shared" si="35"/>
        <v>0</v>
      </c>
      <c r="S161" s="155">
        <f t="shared" si="35"/>
        <v>0</v>
      </c>
    </row>
    <row r="162" spans="1:19">
      <c r="E162" s="8" t="str">
        <f t="shared" si="30"/>
        <v>FD MODEL INPUTS - Water network - WRFIM (+ or -) Value Chosen - active - adjusted - real</v>
      </c>
      <c r="F162" s="155">
        <f t="shared" ref="F162:S162" si="36">F100</f>
        <v>0</v>
      </c>
      <c r="G162" s="155" t="str">
        <f t="shared" si="36"/>
        <v>£m</v>
      </c>
      <c r="H162" s="155">
        <f t="shared" si="36"/>
        <v>-5.2837474219407055</v>
      </c>
      <c r="I162" s="155">
        <f t="shared" si="36"/>
        <v>0</v>
      </c>
      <c r="J162" s="155">
        <f t="shared" si="36"/>
        <v>0</v>
      </c>
      <c r="K162" s="155">
        <f t="shared" si="36"/>
        <v>0</v>
      </c>
      <c r="L162" s="155">
        <f t="shared" si="36"/>
        <v>-1.0567494843881411</v>
      </c>
      <c r="M162" s="155">
        <f t="shared" si="36"/>
        <v>-1.0567494843881411</v>
      </c>
      <c r="N162" s="155">
        <f t="shared" si="36"/>
        <v>-1.0567494843881411</v>
      </c>
      <c r="O162" s="155">
        <f t="shared" si="36"/>
        <v>-1.0567494843881411</v>
      </c>
      <c r="P162" s="155">
        <f t="shared" si="36"/>
        <v>-1.0567494843881411</v>
      </c>
      <c r="Q162" s="155">
        <f t="shared" si="36"/>
        <v>0</v>
      </c>
      <c r="R162" s="155">
        <f t="shared" si="36"/>
        <v>0</v>
      </c>
      <c r="S162" s="155">
        <f t="shared" si="36"/>
        <v>0</v>
      </c>
    </row>
    <row r="163" spans="1:19">
      <c r="E163" s="8" t="str">
        <f t="shared" si="30"/>
        <v>FD MODEL INPUTS - Wastewater network - WRFIM (+ or -) Value Chosen - active - adjusted - real</v>
      </c>
      <c r="F163" s="155">
        <f t="shared" ref="F163:S163" si="37">F101</f>
        <v>0</v>
      </c>
      <c r="G163" s="155" t="str">
        <f t="shared" si="37"/>
        <v>£m</v>
      </c>
      <c r="H163" s="155">
        <f t="shared" si="37"/>
        <v>6.8491183489785126</v>
      </c>
      <c r="I163" s="155">
        <f t="shared" si="37"/>
        <v>0</v>
      </c>
      <c r="J163" s="155">
        <f t="shared" si="37"/>
        <v>0</v>
      </c>
      <c r="K163" s="155">
        <f t="shared" si="37"/>
        <v>0</v>
      </c>
      <c r="L163" s="155">
        <f t="shared" si="37"/>
        <v>1.3698236697957025</v>
      </c>
      <c r="M163" s="155">
        <f t="shared" si="37"/>
        <v>1.3698236697957025</v>
      </c>
      <c r="N163" s="155">
        <f t="shared" si="37"/>
        <v>1.3698236697957025</v>
      </c>
      <c r="O163" s="155">
        <f t="shared" si="37"/>
        <v>1.3698236697957025</v>
      </c>
      <c r="P163" s="155">
        <f t="shared" si="37"/>
        <v>1.3698236697957025</v>
      </c>
      <c r="Q163" s="155">
        <f t="shared" si="37"/>
        <v>0</v>
      </c>
      <c r="R163" s="155">
        <f t="shared" si="37"/>
        <v>0</v>
      </c>
      <c r="S163" s="155">
        <f t="shared" si="37"/>
        <v>0</v>
      </c>
    </row>
    <row r="164" spans="1:19">
      <c r="E164" s="8" t="str">
        <f t="shared" si="30"/>
        <v>FD MODEL INPUTS - Bio resources - WRFIM (+ or -) Value Chosen - active - adjusted - real</v>
      </c>
      <c r="F164" s="155">
        <f t="shared" ref="F164:S164" si="38">F102</f>
        <v>0</v>
      </c>
      <c r="G164" s="155" t="str">
        <f t="shared" si="38"/>
        <v>£m</v>
      </c>
      <c r="H164" s="155">
        <f t="shared" si="38"/>
        <v>0</v>
      </c>
      <c r="I164" s="155">
        <f t="shared" si="38"/>
        <v>0</v>
      </c>
      <c r="J164" s="155">
        <f t="shared" si="38"/>
        <v>0</v>
      </c>
      <c r="K164" s="155">
        <f t="shared" si="38"/>
        <v>0</v>
      </c>
      <c r="L164" s="155">
        <f t="shared" si="38"/>
        <v>0</v>
      </c>
      <c r="M164" s="155">
        <f t="shared" si="38"/>
        <v>0</v>
      </c>
      <c r="N164" s="155">
        <f t="shared" si="38"/>
        <v>0</v>
      </c>
      <c r="O164" s="155">
        <f t="shared" si="38"/>
        <v>0</v>
      </c>
      <c r="P164" s="155">
        <f t="shared" si="38"/>
        <v>0</v>
      </c>
      <c r="Q164" s="155">
        <f t="shared" si="38"/>
        <v>0</v>
      </c>
      <c r="R164" s="155">
        <f t="shared" si="38"/>
        <v>0</v>
      </c>
      <c r="S164" s="155">
        <f t="shared" si="38"/>
        <v>0</v>
      </c>
    </row>
    <row r="165" spans="1:19">
      <c r="E165" s="8" t="str">
        <f t="shared" si="30"/>
        <v>FD MODEL INPUTS - Dummy control - WRFIM (+ or -) Value Chosen - active - adjusted - real</v>
      </c>
      <c r="F165" s="155">
        <f t="shared" ref="F165:S165" si="39">F103</f>
        <v>0</v>
      </c>
      <c r="G165" s="155" t="str">
        <f t="shared" si="39"/>
        <v>£m</v>
      </c>
      <c r="H165" s="155">
        <f t="shared" si="39"/>
        <v>0</v>
      </c>
      <c r="I165" s="155">
        <f t="shared" si="39"/>
        <v>0</v>
      </c>
      <c r="J165" s="155">
        <f t="shared" si="39"/>
        <v>0</v>
      </c>
      <c r="K165" s="155">
        <f t="shared" si="39"/>
        <v>0</v>
      </c>
      <c r="L165" s="155">
        <f t="shared" si="39"/>
        <v>0</v>
      </c>
      <c r="M165" s="155">
        <f t="shared" si="39"/>
        <v>0</v>
      </c>
      <c r="N165" s="155">
        <f t="shared" si="39"/>
        <v>0</v>
      </c>
      <c r="O165" s="155">
        <f t="shared" si="39"/>
        <v>0</v>
      </c>
      <c r="P165" s="155">
        <f t="shared" si="39"/>
        <v>0</v>
      </c>
      <c r="Q165" s="155">
        <f t="shared" si="39"/>
        <v>0</v>
      </c>
      <c r="R165" s="155">
        <f t="shared" si="39"/>
        <v>0</v>
      </c>
      <c r="S165" s="155">
        <f t="shared" si="39"/>
        <v>0</v>
      </c>
    </row>
    <row r="166" spans="1:19">
      <c r="B166" s="64"/>
      <c r="C166" s="115"/>
      <c r="D166" s="59"/>
    </row>
    <row r="167" spans="1:19">
      <c r="A167" s="13" t="s">
        <v>135</v>
      </c>
      <c r="B167" s="64"/>
      <c r="C167" s="115"/>
      <c r="D167" s="59"/>
    </row>
    <row r="168" spans="1:19">
      <c r="B168" s="64"/>
      <c r="C168" s="115"/>
      <c r="D168" s="59"/>
    </row>
    <row r="169" spans="1:19">
      <c r="B169" s="64"/>
      <c r="C169" s="115"/>
      <c r="D169" s="59"/>
      <c r="E169" s="153" t="s">
        <v>307</v>
      </c>
      <c r="F169" s="153">
        <v>0</v>
      </c>
      <c r="G169" s="153" t="s">
        <v>129</v>
      </c>
      <c r="H169" s="153">
        <v>4.1351381239924825</v>
      </c>
      <c r="I169" s="153">
        <v>0</v>
      </c>
      <c r="J169" s="153">
        <v>0</v>
      </c>
      <c r="K169" s="153">
        <v>0</v>
      </c>
      <c r="L169" s="153">
        <v>1.4989174213339747</v>
      </c>
      <c r="M169" s="153">
        <v>1.2600654419435358</v>
      </c>
      <c r="N169" s="153">
        <v>1.0098436876959214</v>
      </c>
      <c r="O169" s="153">
        <v>0</v>
      </c>
      <c r="P169" s="153">
        <v>0.36631157301905076</v>
      </c>
      <c r="Q169" s="153">
        <v>0</v>
      </c>
      <c r="R169" s="153">
        <v>0</v>
      </c>
      <c r="S169" s="153">
        <v>0</v>
      </c>
    </row>
    <row r="170" spans="1:19">
      <c r="B170" s="64"/>
      <c r="C170" s="115"/>
      <c r="D170" s="59"/>
      <c r="E170" s="153" t="s">
        <v>308</v>
      </c>
      <c r="F170" s="153">
        <v>0</v>
      </c>
      <c r="G170" s="153" t="s">
        <v>129</v>
      </c>
      <c r="H170" s="153">
        <v>31.68857081571004</v>
      </c>
      <c r="I170" s="153">
        <v>0</v>
      </c>
      <c r="J170" s="153">
        <v>0</v>
      </c>
      <c r="K170" s="153">
        <v>0</v>
      </c>
      <c r="L170" s="153">
        <v>12.418768160914885</v>
      </c>
      <c r="M170" s="153">
        <v>5.0798047699699946</v>
      </c>
      <c r="N170" s="153">
        <v>7.2937872855977233</v>
      </c>
      <c r="O170" s="153">
        <v>0</v>
      </c>
      <c r="P170" s="153">
        <v>6.8962105992274374</v>
      </c>
      <c r="Q170" s="153">
        <v>0</v>
      </c>
      <c r="R170" s="153">
        <v>0</v>
      </c>
      <c r="S170" s="153">
        <v>0</v>
      </c>
    </row>
    <row r="171" spans="1:19">
      <c r="B171" s="64"/>
      <c r="C171" s="115"/>
      <c r="D171" s="59"/>
      <c r="E171" s="153" t="s">
        <v>309</v>
      </c>
      <c r="F171" s="153">
        <v>0</v>
      </c>
      <c r="G171" s="153" t="s">
        <v>129</v>
      </c>
      <c r="H171" s="153">
        <v>41.708208616403681</v>
      </c>
      <c r="I171" s="153">
        <v>0</v>
      </c>
      <c r="J171" s="153">
        <v>0</v>
      </c>
      <c r="K171" s="153">
        <v>0</v>
      </c>
      <c r="L171" s="153">
        <v>20.948115137228623</v>
      </c>
      <c r="M171" s="153">
        <v>6.7855651521829072</v>
      </c>
      <c r="N171" s="153">
        <v>13.974528326992152</v>
      </c>
      <c r="O171" s="153">
        <v>0</v>
      </c>
      <c r="P171" s="153">
        <v>0</v>
      </c>
      <c r="Q171" s="153">
        <v>0</v>
      </c>
      <c r="R171" s="153">
        <v>0</v>
      </c>
      <c r="S171" s="153">
        <v>0</v>
      </c>
    </row>
    <row r="172" spans="1:19">
      <c r="B172" s="64"/>
      <c r="C172" s="115"/>
      <c r="D172" s="59"/>
      <c r="E172" s="153" t="s">
        <v>310</v>
      </c>
      <c r="F172" s="153">
        <v>0</v>
      </c>
      <c r="G172" s="153" t="s">
        <v>129</v>
      </c>
      <c r="H172" s="153">
        <v>6.0377158432721343</v>
      </c>
      <c r="I172" s="153">
        <v>0</v>
      </c>
      <c r="J172" s="153">
        <v>0</v>
      </c>
      <c r="K172" s="153">
        <v>0</v>
      </c>
      <c r="L172" s="153">
        <v>3.2514452083484793</v>
      </c>
      <c r="M172" s="153">
        <v>0.45591470755641184</v>
      </c>
      <c r="N172" s="153">
        <v>1.5163311143949088</v>
      </c>
      <c r="O172" s="153">
        <v>0</v>
      </c>
      <c r="P172" s="153">
        <v>0.81402481297233453</v>
      </c>
      <c r="Q172" s="153">
        <v>0</v>
      </c>
      <c r="R172" s="153">
        <v>0</v>
      </c>
      <c r="S172" s="153">
        <v>0</v>
      </c>
    </row>
    <row r="173" spans="1:19">
      <c r="B173" s="64"/>
      <c r="C173" s="115"/>
      <c r="D173" s="59"/>
      <c r="E173" s="153" t="s">
        <v>311</v>
      </c>
      <c r="F173" s="153">
        <v>0</v>
      </c>
      <c r="G173" s="153" t="s">
        <v>129</v>
      </c>
      <c r="H173" s="153">
        <v>0</v>
      </c>
      <c r="I173" s="153">
        <v>0</v>
      </c>
      <c r="J173" s="153">
        <v>0</v>
      </c>
      <c r="K173" s="153">
        <v>0</v>
      </c>
      <c r="L173" s="153">
        <v>0</v>
      </c>
      <c r="M173" s="153">
        <v>0</v>
      </c>
      <c r="N173" s="153">
        <v>0</v>
      </c>
      <c r="O173" s="153">
        <v>0</v>
      </c>
      <c r="P173" s="153">
        <v>0</v>
      </c>
      <c r="Q173" s="153">
        <v>0</v>
      </c>
      <c r="R173" s="153">
        <v>0</v>
      </c>
      <c r="S173" s="153">
        <v>0</v>
      </c>
    </row>
    <row r="174" spans="1:19">
      <c r="B174" s="64"/>
      <c r="C174" s="115"/>
      <c r="D174" s="59"/>
    </row>
    <row r="175" spans="1:19">
      <c r="B175" s="64"/>
      <c r="C175" s="115"/>
      <c r="D175" s="59"/>
      <c r="E175" s="153" t="s">
        <v>312</v>
      </c>
      <c r="F175" s="153">
        <v>0</v>
      </c>
      <c r="G175" s="153" t="s">
        <v>129</v>
      </c>
      <c r="H175" s="153">
        <v>683.47268147348336</v>
      </c>
      <c r="I175" s="153">
        <v>0</v>
      </c>
      <c r="J175" s="153">
        <v>0</v>
      </c>
      <c r="K175" s="153">
        <v>0</v>
      </c>
      <c r="L175" s="153">
        <v>99.082188445962743</v>
      </c>
      <c r="M175" s="153">
        <v>99.603886226687237</v>
      </c>
      <c r="N175" s="153">
        <v>100.88731011346469</v>
      </c>
      <c r="O175" s="153">
        <v>104.92175704654343</v>
      </c>
      <c r="P175" s="153">
        <v>112.32459247725187</v>
      </c>
      <c r="Q175" s="153">
        <v>35.383295572084961</v>
      </c>
      <c r="R175" s="153">
        <v>34.876323472310339</v>
      </c>
      <c r="S175" s="153">
        <v>33.284952333922412</v>
      </c>
    </row>
    <row r="176" spans="1:19">
      <c r="B176" s="64"/>
      <c r="C176" s="115"/>
      <c r="D176" s="59"/>
      <c r="E176" s="153" t="s">
        <v>313</v>
      </c>
      <c r="F176" s="153">
        <v>0</v>
      </c>
      <c r="G176" s="153" t="s">
        <v>129</v>
      </c>
      <c r="H176" s="153">
        <v>4073.8514605559385</v>
      </c>
      <c r="I176" s="153">
        <v>0</v>
      </c>
      <c r="J176" s="153">
        <v>0</v>
      </c>
      <c r="K176" s="153">
        <v>0</v>
      </c>
      <c r="L176" s="153">
        <v>588.02319644343993</v>
      </c>
      <c r="M176" s="153">
        <v>584.59670388626444</v>
      </c>
      <c r="N176" s="153">
        <v>585.54154544347477</v>
      </c>
      <c r="O176" s="153">
        <v>587.01461686402774</v>
      </c>
      <c r="P176" s="153">
        <v>585.54152521768833</v>
      </c>
      <c r="Q176" s="153">
        <v>251.59409795987349</v>
      </c>
      <c r="R176" s="153">
        <v>238.27451560645642</v>
      </c>
      <c r="S176" s="153">
        <v>227.30281774426447</v>
      </c>
    </row>
    <row r="177" spans="2:19">
      <c r="B177" s="64"/>
      <c r="C177" s="115"/>
      <c r="D177" s="59"/>
      <c r="E177" s="153" t="s">
        <v>314</v>
      </c>
      <c r="F177" s="153">
        <v>0</v>
      </c>
      <c r="G177" s="153" t="s">
        <v>129</v>
      </c>
      <c r="H177" s="153">
        <v>5791.5651694793423</v>
      </c>
      <c r="I177" s="153">
        <v>0</v>
      </c>
      <c r="J177" s="153">
        <v>0</v>
      </c>
      <c r="K177" s="153">
        <v>0</v>
      </c>
      <c r="L177" s="153">
        <v>764.70830748373032</v>
      </c>
      <c r="M177" s="153">
        <v>737.74979394422587</v>
      </c>
      <c r="N177" s="153">
        <v>741.15174400379567</v>
      </c>
      <c r="O177" s="153">
        <v>736.04628798872034</v>
      </c>
      <c r="P177" s="153">
        <v>741.4012468545659</v>
      </c>
      <c r="Q177" s="153">
        <v>446.41099966335156</v>
      </c>
      <c r="R177" s="153">
        <v>430.26228007439397</v>
      </c>
      <c r="S177" s="153">
        <v>414.25557952067106</v>
      </c>
    </row>
    <row r="178" spans="2:19">
      <c r="B178" s="64"/>
      <c r="C178" s="115"/>
      <c r="D178" s="59"/>
      <c r="E178" s="153" t="s">
        <v>315</v>
      </c>
      <c r="F178" s="153">
        <v>0</v>
      </c>
      <c r="G178" s="153" t="s">
        <v>129</v>
      </c>
      <c r="H178" s="153">
        <v>689.68152933323347</v>
      </c>
      <c r="I178" s="153">
        <v>0</v>
      </c>
      <c r="J178" s="153">
        <v>0</v>
      </c>
      <c r="K178" s="153">
        <v>0</v>
      </c>
      <c r="L178" s="153">
        <v>92.062655184371962</v>
      </c>
      <c r="M178" s="153">
        <v>90.232006650683033</v>
      </c>
      <c r="N178" s="153">
        <v>92.685762455277597</v>
      </c>
      <c r="O178" s="153">
        <v>91.989796894656763</v>
      </c>
      <c r="P178" s="153">
        <v>93.914655707327768</v>
      </c>
      <c r="Q178" s="153">
        <v>52.975639225898284</v>
      </c>
      <c r="R178" s="153">
        <v>48.938556300785436</v>
      </c>
      <c r="S178" s="153">
        <v>45.495610069135942</v>
      </c>
    </row>
    <row r="179" spans="2:19">
      <c r="B179" s="64"/>
      <c r="C179" s="115"/>
      <c r="D179" s="59"/>
      <c r="E179" s="153" t="s">
        <v>316</v>
      </c>
      <c r="F179" s="153">
        <v>0</v>
      </c>
      <c r="G179" s="153" t="s">
        <v>129</v>
      </c>
      <c r="H179" s="153">
        <v>0</v>
      </c>
      <c r="I179" s="153">
        <v>0</v>
      </c>
      <c r="J179" s="153">
        <v>0</v>
      </c>
      <c r="K179" s="153">
        <v>0</v>
      </c>
      <c r="L179" s="153">
        <v>0</v>
      </c>
      <c r="M179" s="153">
        <v>0</v>
      </c>
      <c r="N179" s="153">
        <v>0</v>
      </c>
      <c r="O179" s="153">
        <v>0</v>
      </c>
      <c r="P179" s="153">
        <v>0</v>
      </c>
      <c r="Q179" s="153">
        <v>0</v>
      </c>
      <c r="R179" s="153">
        <v>0</v>
      </c>
      <c r="S179" s="153">
        <v>0</v>
      </c>
    </row>
    <row r="180" spans="2:19">
      <c r="B180" s="64"/>
      <c r="C180" s="115"/>
      <c r="D180" s="59"/>
    </row>
    <row r="181" spans="2:19">
      <c r="B181" s="64"/>
      <c r="C181" s="115"/>
      <c r="D181" s="59"/>
      <c r="E181" s="154" t="s">
        <v>248</v>
      </c>
      <c r="F181" s="154">
        <v>0.18</v>
      </c>
      <c r="G181" s="154" t="s">
        <v>119</v>
      </c>
    </row>
    <row r="182" spans="2:19">
      <c r="B182" s="64"/>
      <c r="C182" s="115"/>
      <c r="D182" s="59"/>
      <c r="E182" s="154" t="s">
        <v>249</v>
      </c>
      <c r="F182" s="154">
        <v>0.06</v>
      </c>
      <c r="G182" s="154" t="s">
        <v>119</v>
      </c>
    </row>
    <row r="183" spans="2:19">
      <c r="B183" s="64"/>
      <c r="C183" s="115"/>
      <c r="D183" s="59"/>
      <c r="E183" s="154" t="s">
        <v>250</v>
      </c>
      <c r="F183" s="154">
        <v>0.03</v>
      </c>
      <c r="G183" s="154" t="s">
        <v>119</v>
      </c>
    </row>
    <row r="184" spans="2:19">
      <c r="B184" s="64"/>
      <c r="C184" s="115"/>
      <c r="D184" s="59"/>
    </row>
    <row r="185" spans="2:19">
      <c r="B185" s="64"/>
      <c r="C185" s="115"/>
      <c r="D185" s="59"/>
      <c r="E185" s="154" t="s">
        <v>317</v>
      </c>
      <c r="F185" s="154" t="s">
        <v>318</v>
      </c>
      <c r="G185" s="154" t="s">
        <v>119</v>
      </c>
      <c r="H185" s="154">
        <v>0</v>
      </c>
      <c r="I185" s="154">
        <v>0</v>
      </c>
      <c r="J185" s="154">
        <v>0</v>
      </c>
      <c r="K185" s="154">
        <v>0</v>
      </c>
      <c r="L185" s="154">
        <v>0.19</v>
      </c>
      <c r="M185" s="154">
        <v>0.19</v>
      </c>
      <c r="N185" s="154">
        <v>0.19</v>
      </c>
      <c r="O185" s="154">
        <v>0.25</v>
      </c>
      <c r="P185" s="154">
        <v>0.25</v>
      </c>
      <c r="Q185" s="154">
        <v>0</v>
      </c>
      <c r="R185" s="154">
        <v>0</v>
      </c>
      <c r="S185" s="154">
        <v>0</v>
      </c>
    </row>
    <row r="186" spans="2:19">
      <c r="B186" s="64"/>
      <c r="C186" s="115"/>
      <c r="D186" s="59"/>
    </row>
    <row r="187" spans="2:19">
      <c r="B187" s="64"/>
      <c r="C187" s="115"/>
      <c r="D187" s="59"/>
      <c r="E187" s="302" t="s">
        <v>332</v>
      </c>
      <c r="F187" s="302">
        <v>0</v>
      </c>
      <c r="G187" s="302" t="s">
        <v>119</v>
      </c>
      <c r="H187" s="302">
        <v>0</v>
      </c>
      <c r="I187" s="302">
        <v>0</v>
      </c>
      <c r="J187" s="302">
        <v>0</v>
      </c>
      <c r="K187" s="302">
        <v>0</v>
      </c>
      <c r="L187" s="302">
        <v>1.427449580173068E-2</v>
      </c>
      <c r="M187" s="302">
        <v>1.2478158635960135E-2</v>
      </c>
      <c r="N187" s="302">
        <v>1.1712575270535597E-2</v>
      </c>
      <c r="O187" s="302">
        <v>1.2230148354421599E-2</v>
      </c>
      <c r="P187" s="302">
        <v>1.3106033220900315E-2</v>
      </c>
      <c r="Q187" s="302">
        <v>1.1490003519418313E-2</v>
      </c>
      <c r="R187" s="302">
        <v>1.1490003519418313E-2</v>
      </c>
      <c r="S187" s="302">
        <v>1.1490003519418313E-2</v>
      </c>
    </row>
    <row r="188" spans="2:19">
      <c r="B188" s="64"/>
      <c r="C188" s="115"/>
      <c r="D188" s="59"/>
      <c r="E188" s="302" t="s">
        <v>333</v>
      </c>
      <c r="F188" s="302">
        <v>0</v>
      </c>
      <c r="G188" s="302" t="s">
        <v>119</v>
      </c>
      <c r="H188" s="302">
        <v>0</v>
      </c>
      <c r="I188" s="302">
        <v>0</v>
      </c>
      <c r="J188" s="302">
        <v>0</v>
      </c>
      <c r="K188" s="302">
        <v>0</v>
      </c>
      <c r="L188" s="302">
        <v>0.03</v>
      </c>
      <c r="M188" s="302">
        <v>0.03</v>
      </c>
      <c r="N188" s="302">
        <v>0.03</v>
      </c>
      <c r="O188" s="302">
        <v>0.03</v>
      </c>
      <c r="P188" s="302">
        <v>0.03</v>
      </c>
      <c r="Q188" s="302">
        <v>0.03</v>
      </c>
      <c r="R188" s="302">
        <v>0.03</v>
      </c>
      <c r="S188" s="302">
        <v>0.03</v>
      </c>
    </row>
    <row r="189" spans="2:19">
      <c r="B189" s="64"/>
      <c r="C189" s="115"/>
      <c r="D189" s="59"/>
      <c r="E189" s="302" t="s">
        <v>334</v>
      </c>
      <c r="F189" s="302">
        <v>0</v>
      </c>
      <c r="G189" s="302" t="s">
        <v>119</v>
      </c>
      <c r="H189" s="302">
        <v>0</v>
      </c>
      <c r="I189" s="302">
        <v>0</v>
      </c>
      <c r="J189" s="302">
        <v>0</v>
      </c>
      <c r="K189" s="302">
        <v>0</v>
      </c>
      <c r="L189" s="302">
        <v>4.4702730675782454E-2</v>
      </c>
      <c r="M189" s="302">
        <v>4.2852503395038766E-2</v>
      </c>
      <c r="N189" s="302">
        <v>4.2063952528651805E-2</v>
      </c>
      <c r="O189" s="302">
        <v>4.2597052805054436E-2</v>
      </c>
      <c r="P189" s="302">
        <v>4.3499214217527338E-2</v>
      </c>
      <c r="Q189" s="302">
        <v>4.1834703625000857E-2</v>
      </c>
      <c r="R189" s="302">
        <v>4.1834703625000857E-2</v>
      </c>
      <c r="S189" s="302">
        <v>4.1834703625000857E-2</v>
      </c>
    </row>
    <row r="190" spans="2:19">
      <c r="B190" s="64"/>
      <c r="C190" s="115"/>
      <c r="D190" s="59"/>
    </row>
    <row r="191" spans="2:19">
      <c r="B191" s="64"/>
      <c r="C191" s="115"/>
      <c r="D191" s="59"/>
      <c r="E191" s="272" t="s">
        <v>335</v>
      </c>
      <c r="F191" s="272">
        <v>0</v>
      </c>
      <c r="G191" s="272" t="s">
        <v>336</v>
      </c>
    </row>
    <row r="192" spans="2:19">
      <c r="B192" s="64"/>
      <c r="C192" s="115"/>
      <c r="D192" s="59"/>
      <c r="E192" s="272"/>
      <c r="F192" s="159"/>
      <c r="G192" s="272"/>
    </row>
    <row r="193" spans="2:19">
      <c r="B193" s="64"/>
      <c r="C193" s="115"/>
      <c r="D193" s="59"/>
      <c r="E193" s="272" t="s">
        <v>337</v>
      </c>
      <c r="F193" s="272">
        <v>0</v>
      </c>
      <c r="G193" s="272" t="s">
        <v>338</v>
      </c>
    </row>
    <row r="194" spans="2:19">
      <c r="B194" s="64"/>
      <c r="C194" s="115"/>
      <c r="D194" s="59"/>
    </row>
    <row r="195" spans="2:19">
      <c r="B195" s="64"/>
      <c r="C195" s="115"/>
      <c r="D195" s="59"/>
      <c r="E195" s="272" t="s">
        <v>319</v>
      </c>
      <c r="F195" s="272">
        <v>0</v>
      </c>
      <c r="G195" s="272" t="s">
        <v>320</v>
      </c>
      <c r="H195" s="272">
        <v>0</v>
      </c>
      <c r="I195" s="272">
        <v>0</v>
      </c>
      <c r="J195" s="153" t="s">
        <v>321</v>
      </c>
      <c r="K195" s="153" t="s">
        <v>321</v>
      </c>
      <c r="L195" s="272">
        <v>1</v>
      </c>
      <c r="M195" s="272">
        <v>1</v>
      </c>
      <c r="N195" s="272">
        <v>1</v>
      </c>
      <c r="O195" s="272">
        <v>1</v>
      </c>
      <c r="P195" s="272">
        <v>1</v>
      </c>
      <c r="Q195" s="272">
        <v>0</v>
      </c>
      <c r="R195" s="272">
        <v>0</v>
      </c>
      <c r="S195" s="272">
        <v>0</v>
      </c>
    </row>
    <row r="196" spans="2:19">
      <c r="B196" s="64"/>
      <c r="C196" s="115"/>
      <c r="D196" s="59"/>
      <c r="E196" s="272" t="s">
        <v>322</v>
      </c>
      <c r="F196" s="272">
        <v>0</v>
      </c>
      <c r="G196" s="272" t="s">
        <v>320</v>
      </c>
      <c r="H196" s="272">
        <v>0</v>
      </c>
      <c r="I196" s="272">
        <v>0</v>
      </c>
      <c r="J196" s="153" t="s">
        <v>321</v>
      </c>
      <c r="K196" s="153" t="s">
        <v>321</v>
      </c>
      <c r="L196" s="272">
        <v>1</v>
      </c>
      <c r="M196" s="272">
        <v>1</v>
      </c>
      <c r="N196" s="272">
        <v>1</v>
      </c>
      <c r="O196" s="272">
        <v>1</v>
      </c>
      <c r="P196" s="272">
        <v>1</v>
      </c>
      <c r="Q196" s="272">
        <v>0</v>
      </c>
      <c r="R196" s="272">
        <v>0</v>
      </c>
      <c r="S196" s="272">
        <v>0</v>
      </c>
    </row>
    <row r="197" spans="2:19">
      <c r="B197" s="64"/>
      <c r="C197" s="115"/>
      <c r="D197" s="59"/>
      <c r="E197" s="272" t="s">
        <v>323</v>
      </c>
      <c r="F197" s="272">
        <v>0</v>
      </c>
      <c r="G197" s="272" t="s">
        <v>320</v>
      </c>
      <c r="H197" s="272">
        <v>0</v>
      </c>
      <c r="I197" s="272">
        <v>0</v>
      </c>
      <c r="J197" s="153" t="s">
        <v>321</v>
      </c>
      <c r="K197" s="153" t="s">
        <v>321</v>
      </c>
      <c r="L197" s="272">
        <v>1</v>
      </c>
      <c r="M197" s="272">
        <v>1</v>
      </c>
      <c r="N197" s="272">
        <v>1</v>
      </c>
      <c r="O197" s="272">
        <v>1</v>
      </c>
      <c r="P197" s="272">
        <v>1</v>
      </c>
      <c r="Q197" s="272">
        <v>0</v>
      </c>
      <c r="R197" s="272">
        <v>0</v>
      </c>
      <c r="S197" s="272">
        <v>0</v>
      </c>
    </row>
    <row r="198" spans="2:19">
      <c r="B198" s="64"/>
      <c r="C198" s="115"/>
      <c r="D198" s="59"/>
      <c r="E198" s="272" t="s">
        <v>324</v>
      </c>
      <c r="F198" s="272">
        <v>0</v>
      </c>
      <c r="G198" s="272" t="s">
        <v>320</v>
      </c>
      <c r="H198" s="272">
        <v>0</v>
      </c>
      <c r="I198" s="272">
        <v>0</v>
      </c>
      <c r="J198" s="153" t="s">
        <v>321</v>
      </c>
      <c r="K198" s="153" t="s">
        <v>321</v>
      </c>
      <c r="L198" s="272">
        <v>1</v>
      </c>
      <c r="M198" s="272">
        <v>1</v>
      </c>
      <c r="N198" s="272">
        <v>1</v>
      </c>
      <c r="O198" s="272">
        <v>1</v>
      </c>
      <c r="P198" s="272">
        <v>1</v>
      </c>
      <c r="Q198" s="272">
        <v>0</v>
      </c>
      <c r="R198" s="272">
        <v>0</v>
      </c>
      <c r="S198" s="272">
        <v>0</v>
      </c>
    </row>
    <row r="199" spans="2:19">
      <c r="B199" s="64"/>
      <c r="C199" s="115"/>
      <c r="D199" s="59"/>
      <c r="E199" s="272" t="s">
        <v>325</v>
      </c>
      <c r="F199" s="272">
        <v>0</v>
      </c>
      <c r="G199" s="272" t="s">
        <v>320</v>
      </c>
      <c r="H199" s="272">
        <v>0</v>
      </c>
      <c r="I199" s="272">
        <v>0</v>
      </c>
      <c r="J199" s="153" t="s">
        <v>321</v>
      </c>
      <c r="K199" s="153" t="s">
        <v>321</v>
      </c>
      <c r="L199" s="272">
        <v>0</v>
      </c>
      <c r="M199" s="272">
        <v>0</v>
      </c>
      <c r="N199" s="272">
        <v>0</v>
      </c>
      <c r="O199" s="272">
        <v>0</v>
      </c>
      <c r="P199" s="272">
        <v>0</v>
      </c>
      <c r="Q199" s="272">
        <v>0</v>
      </c>
      <c r="R199" s="272">
        <v>0</v>
      </c>
      <c r="S199" s="272">
        <v>0</v>
      </c>
    </row>
    <row r="200" spans="2:19">
      <c r="B200" s="64"/>
      <c r="C200" s="115"/>
      <c r="D200" s="59"/>
    </row>
    <row r="201" spans="2:19">
      <c r="B201" s="64"/>
      <c r="C201" s="115"/>
      <c r="D201" s="59"/>
      <c r="E201" s="272" t="s">
        <v>326</v>
      </c>
      <c r="F201" s="272">
        <v>0</v>
      </c>
      <c r="G201" s="272" t="s">
        <v>320</v>
      </c>
      <c r="H201" s="272">
        <v>0</v>
      </c>
      <c r="I201" s="272">
        <v>0</v>
      </c>
      <c r="J201" s="153" t="s">
        <v>321</v>
      </c>
      <c r="K201" s="153" t="s">
        <v>321</v>
      </c>
      <c r="L201" s="272">
        <v>1</v>
      </c>
      <c r="M201" s="272">
        <v>1</v>
      </c>
      <c r="N201" s="272">
        <v>1</v>
      </c>
      <c r="O201" s="272">
        <v>1</v>
      </c>
      <c r="P201" s="272">
        <v>1</v>
      </c>
      <c r="Q201" s="272">
        <v>0</v>
      </c>
      <c r="R201" s="272">
        <v>0</v>
      </c>
      <c r="S201" s="272">
        <v>0</v>
      </c>
    </row>
    <row r="202" spans="2:19">
      <c r="B202" s="64"/>
      <c r="C202" s="115"/>
      <c r="D202" s="59"/>
      <c r="E202" s="272" t="s">
        <v>327</v>
      </c>
      <c r="F202" s="272">
        <v>0</v>
      </c>
      <c r="G202" s="272" t="s">
        <v>320</v>
      </c>
      <c r="H202" s="272">
        <v>0</v>
      </c>
      <c r="I202" s="272">
        <v>0</v>
      </c>
      <c r="J202" s="153" t="s">
        <v>321</v>
      </c>
      <c r="K202" s="153" t="s">
        <v>321</v>
      </c>
      <c r="L202" s="272">
        <v>1</v>
      </c>
      <c r="M202" s="272">
        <v>1</v>
      </c>
      <c r="N202" s="272">
        <v>1</v>
      </c>
      <c r="O202" s="272">
        <v>1</v>
      </c>
      <c r="P202" s="272">
        <v>1</v>
      </c>
      <c r="Q202" s="272">
        <v>0</v>
      </c>
      <c r="R202" s="272">
        <v>0</v>
      </c>
      <c r="S202" s="272">
        <v>0</v>
      </c>
    </row>
    <row r="203" spans="2:19">
      <c r="B203" s="64"/>
      <c r="C203" s="115"/>
      <c r="D203" s="59"/>
      <c r="E203" s="272" t="s">
        <v>328</v>
      </c>
      <c r="F203" s="272">
        <v>0</v>
      </c>
      <c r="G203" s="272" t="s">
        <v>320</v>
      </c>
      <c r="H203" s="272">
        <v>0</v>
      </c>
      <c r="I203" s="272">
        <v>0</v>
      </c>
      <c r="J203" s="153" t="s">
        <v>321</v>
      </c>
      <c r="K203" s="153" t="s">
        <v>321</v>
      </c>
      <c r="L203" s="272">
        <v>1</v>
      </c>
      <c r="M203" s="272">
        <v>1</v>
      </c>
      <c r="N203" s="272">
        <v>1</v>
      </c>
      <c r="O203" s="272">
        <v>1</v>
      </c>
      <c r="P203" s="272">
        <v>1</v>
      </c>
      <c r="Q203" s="272">
        <v>0</v>
      </c>
      <c r="R203" s="272">
        <v>0</v>
      </c>
      <c r="S203" s="272">
        <v>0</v>
      </c>
    </row>
    <row r="204" spans="2:19">
      <c r="B204" s="64"/>
      <c r="C204" s="115"/>
      <c r="D204" s="59"/>
      <c r="E204" s="272" t="s">
        <v>329</v>
      </c>
      <c r="F204" s="272">
        <v>0</v>
      </c>
      <c r="G204" s="272" t="s">
        <v>320</v>
      </c>
      <c r="H204" s="272">
        <v>0</v>
      </c>
      <c r="I204" s="272">
        <v>0</v>
      </c>
      <c r="J204" s="153" t="s">
        <v>321</v>
      </c>
      <c r="K204" s="153" t="s">
        <v>321</v>
      </c>
      <c r="L204" s="272">
        <v>1</v>
      </c>
      <c r="M204" s="272">
        <v>1</v>
      </c>
      <c r="N204" s="272">
        <v>1</v>
      </c>
      <c r="O204" s="272">
        <v>1</v>
      </c>
      <c r="P204" s="272">
        <v>1</v>
      </c>
      <c r="Q204" s="272">
        <v>0</v>
      </c>
      <c r="R204" s="272">
        <v>0</v>
      </c>
      <c r="S204" s="272">
        <v>0</v>
      </c>
    </row>
    <row r="205" spans="2:19">
      <c r="B205" s="64"/>
      <c r="C205" s="115"/>
      <c r="D205" s="59"/>
      <c r="E205" s="272" t="s">
        <v>330</v>
      </c>
      <c r="F205" s="272">
        <v>0</v>
      </c>
      <c r="G205" s="272" t="s">
        <v>320</v>
      </c>
      <c r="H205" s="272">
        <v>0</v>
      </c>
      <c r="I205" s="272">
        <v>0</v>
      </c>
      <c r="J205" s="153" t="s">
        <v>321</v>
      </c>
      <c r="K205" s="153" t="s">
        <v>321</v>
      </c>
      <c r="L205" s="272">
        <v>0</v>
      </c>
      <c r="M205" s="272">
        <v>0</v>
      </c>
      <c r="N205" s="272">
        <v>0</v>
      </c>
      <c r="O205" s="272">
        <v>0</v>
      </c>
      <c r="P205" s="272">
        <v>0</v>
      </c>
      <c r="Q205" s="272">
        <v>0</v>
      </c>
      <c r="R205" s="272">
        <v>0</v>
      </c>
      <c r="S205" s="272">
        <v>0</v>
      </c>
    </row>
    <row r="206" spans="2:19">
      <c r="B206" s="64"/>
      <c r="C206" s="115"/>
      <c r="D206" s="59"/>
      <c r="E206" s="272"/>
      <c r="F206" s="272"/>
      <c r="G206" s="272"/>
      <c r="H206" s="272"/>
      <c r="I206" s="272"/>
      <c r="J206" s="153"/>
      <c r="K206" s="153"/>
      <c r="L206" s="272"/>
      <c r="M206" s="272"/>
      <c r="N206" s="272"/>
      <c r="O206" s="272"/>
      <c r="P206" s="272"/>
      <c r="Q206" s="272"/>
      <c r="R206" s="272"/>
      <c r="S206" s="272"/>
    </row>
    <row r="207" spans="2:19">
      <c r="B207" s="64"/>
      <c r="C207" s="115"/>
      <c r="D207" s="59"/>
      <c r="E207" s="272" t="s">
        <v>271</v>
      </c>
      <c r="F207" s="272">
        <v>0</v>
      </c>
      <c r="G207" s="272" t="s">
        <v>331</v>
      </c>
    </row>
    <row r="208" spans="2:19">
      <c r="B208" s="64"/>
      <c r="C208" s="115"/>
      <c r="D208" s="59"/>
      <c r="E208" s="272" t="s">
        <v>272</v>
      </c>
      <c r="F208" s="272">
        <v>0</v>
      </c>
      <c r="G208" s="272" t="s">
        <v>331</v>
      </c>
    </row>
    <row r="209" spans="1:19">
      <c r="B209" s="64"/>
      <c r="C209" s="115"/>
      <c r="D209" s="59"/>
      <c r="E209" s="272" t="s">
        <v>273</v>
      </c>
      <c r="F209" s="272">
        <v>0</v>
      </c>
      <c r="G209" s="272" t="s">
        <v>331</v>
      </c>
    </row>
    <row r="210" spans="1:19">
      <c r="B210" s="64"/>
      <c r="C210" s="115"/>
      <c r="D210" s="59"/>
      <c r="E210" s="272" t="s">
        <v>274</v>
      </c>
      <c r="F210" s="272">
        <v>0</v>
      </c>
      <c r="G210" s="272" t="s">
        <v>331</v>
      </c>
    </row>
    <row r="211" spans="1:19">
      <c r="B211" s="64"/>
      <c r="C211" s="115"/>
      <c r="D211" s="59"/>
      <c r="E211" s="272" t="s">
        <v>275</v>
      </c>
      <c r="F211" s="272">
        <v>0</v>
      </c>
      <c r="G211" s="272" t="s">
        <v>331</v>
      </c>
    </row>
    <row r="212" spans="1:19">
      <c r="B212" s="64"/>
      <c r="C212" s="115"/>
      <c r="D212" s="59"/>
    </row>
    <row r="213" spans="1:19">
      <c r="B213" s="64"/>
      <c r="C213" s="115"/>
      <c r="D213" s="59"/>
      <c r="E213" s="272" t="s">
        <v>276</v>
      </c>
      <c r="F213" s="272">
        <v>0</v>
      </c>
      <c r="G213" s="272" t="s">
        <v>331</v>
      </c>
    </row>
    <row r="214" spans="1:19">
      <c r="B214" s="64"/>
      <c r="C214" s="115"/>
      <c r="D214" s="59"/>
      <c r="E214" s="272" t="s">
        <v>277</v>
      </c>
      <c r="F214" s="272">
        <v>0</v>
      </c>
      <c r="G214" s="272" t="s">
        <v>331</v>
      </c>
    </row>
    <row r="215" spans="1:19">
      <c r="B215" s="64"/>
      <c r="C215" s="115"/>
      <c r="D215" s="59"/>
      <c r="E215" s="272" t="s">
        <v>278</v>
      </c>
      <c r="F215" s="272">
        <v>0</v>
      </c>
      <c r="G215" s="272" t="s">
        <v>331</v>
      </c>
    </row>
    <row r="216" spans="1:19">
      <c r="B216" s="64"/>
      <c r="C216" s="115"/>
      <c r="D216" s="59"/>
      <c r="E216" s="272" t="s">
        <v>279</v>
      </c>
      <c r="F216" s="272">
        <v>0</v>
      </c>
      <c r="G216" s="272" t="s">
        <v>331</v>
      </c>
    </row>
    <row r="217" spans="1:19">
      <c r="B217" s="64"/>
      <c r="C217" s="115"/>
      <c r="D217" s="59"/>
      <c r="E217" s="272" t="s">
        <v>280</v>
      </c>
      <c r="F217" s="272">
        <v>0</v>
      </c>
      <c r="G217" s="272" t="s">
        <v>331</v>
      </c>
    </row>
    <row r="218" spans="1:19">
      <c r="B218" s="64"/>
      <c r="C218" s="115"/>
      <c r="D218" s="59"/>
    </row>
    <row r="219" spans="1:19" s="50" customFormat="1">
      <c r="A219" s="148"/>
      <c r="B219" s="64"/>
      <c r="C219" s="115"/>
      <c r="D219" s="60"/>
      <c r="E219" s="157" t="s">
        <v>339</v>
      </c>
      <c r="F219" s="157">
        <v>0</v>
      </c>
      <c r="G219" s="157" t="s">
        <v>129</v>
      </c>
      <c r="H219" s="157">
        <v>0</v>
      </c>
      <c r="I219" s="157">
        <v>0</v>
      </c>
      <c r="J219" s="157">
        <v>0</v>
      </c>
      <c r="K219" s="157">
        <v>0</v>
      </c>
      <c r="L219" s="157">
        <v>0</v>
      </c>
      <c r="M219" s="157">
        <v>0</v>
      </c>
      <c r="N219" s="157">
        <v>0</v>
      </c>
      <c r="O219" s="157">
        <v>0</v>
      </c>
      <c r="P219" s="157">
        <v>0</v>
      </c>
      <c r="Q219" s="157">
        <v>0</v>
      </c>
      <c r="R219" s="157">
        <v>0</v>
      </c>
      <c r="S219" s="157">
        <v>0</v>
      </c>
    </row>
    <row r="220" spans="1:19" s="50" customFormat="1">
      <c r="A220" s="148"/>
      <c r="B220" s="64"/>
      <c r="C220" s="115"/>
      <c r="D220" s="60"/>
      <c r="E220" s="157" t="s">
        <v>341</v>
      </c>
      <c r="F220" s="157">
        <v>0</v>
      </c>
      <c r="G220" s="157" t="s">
        <v>129</v>
      </c>
      <c r="H220" s="157">
        <v>41.277745924724961</v>
      </c>
      <c r="I220" s="157">
        <v>0</v>
      </c>
      <c r="J220" s="157">
        <v>0</v>
      </c>
      <c r="K220" s="157">
        <v>0</v>
      </c>
      <c r="L220" s="157">
        <v>8.5076270226532351</v>
      </c>
      <c r="M220" s="157">
        <v>8.5076270226532351</v>
      </c>
      <c r="N220" s="157">
        <v>8.5076270226532351</v>
      </c>
      <c r="O220" s="157">
        <v>7.877432428382626</v>
      </c>
      <c r="P220" s="157">
        <v>7.877432428382626</v>
      </c>
      <c r="Q220" s="157">
        <v>0</v>
      </c>
      <c r="R220" s="157">
        <v>0</v>
      </c>
      <c r="S220" s="157">
        <v>0</v>
      </c>
    </row>
    <row r="221" spans="1:19" s="50" customFormat="1">
      <c r="A221" s="148"/>
      <c r="B221" s="64"/>
      <c r="C221" s="115"/>
      <c r="D221" s="60"/>
      <c r="E221" s="157" t="s">
        <v>343</v>
      </c>
      <c r="F221" s="157">
        <v>0</v>
      </c>
      <c r="G221" s="157" t="s">
        <v>129</v>
      </c>
      <c r="H221" s="157">
        <v>9.3067779344567185</v>
      </c>
      <c r="I221" s="157">
        <v>0</v>
      </c>
      <c r="J221" s="157">
        <v>0</v>
      </c>
      <c r="K221" s="157">
        <v>0</v>
      </c>
      <c r="L221" s="157">
        <v>1.9181908719872625</v>
      </c>
      <c r="M221" s="157">
        <v>1.9181908719872625</v>
      </c>
      <c r="N221" s="157">
        <v>1.9181908719872625</v>
      </c>
      <c r="O221" s="157">
        <v>1.7761026592474651</v>
      </c>
      <c r="P221" s="157">
        <v>1.7761026592474651</v>
      </c>
      <c r="Q221" s="157">
        <v>0</v>
      </c>
      <c r="R221" s="157">
        <v>0</v>
      </c>
      <c r="S221" s="157">
        <v>0</v>
      </c>
    </row>
    <row r="222" spans="1:19" s="50" customFormat="1">
      <c r="A222" s="148"/>
      <c r="B222" s="64"/>
      <c r="C222" s="115"/>
      <c r="D222" s="60"/>
      <c r="E222" s="157" t="s">
        <v>345</v>
      </c>
      <c r="F222" s="157">
        <v>0</v>
      </c>
      <c r="G222" s="157" t="s">
        <v>129</v>
      </c>
      <c r="H222" s="157">
        <v>0</v>
      </c>
      <c r="I222" s="157">
        <v>0</v>
      </c>
      <c r="J222" s="157">
        <v>0</v>
      </c>
      <c r="K222" s="157">
        <v>0</v>
      </c>
      <c r="L222" s="157">
        <v>0</v>
      </c>
      <c r="M222" s="157">
        <v>0</v>
      </c>
      <c r="N222" s="157">
        <v>0</v>
      </c>
      <c r="O222" s="157">
        <v>0</v>
      </c>
      <c r="P222" s="157">
        <v>0</v>
      </c>
      <c r="Q222" s="157">
        <v>0</v>
      </c>
      <c r="R222" s="157">
        <v>0</v>
      </c>
      <c r="S222" s="157">
        <v>0</v>
      </c>
    </row>
    <row r="223" spans="1:19" s="50" customFormat="1">
      <c r="A223" s="148"/>
      <c r="B223" s="64"/>
      <c r="C223" s="115"/>
      <c r="D223" s="60"/>
      <c r="E223" s="157" t="s">
        <v>347</v>
      </c>
      <c r="F223" s="157">
        <v>0</v>
      </c>
      <c r="G223" s="157" t="s">
        <v>129</v>
      </c>
      <c r="H223" s="157">
        <v>0</v>
      </c>
      <c r="I223" s="157">
        <v>0</v>
      </c>
      <c r="J223" s="157">
        <v>0</v>
      </c>
      <c r="K223" s="157">
        <v>0</v>
      </c>
      <c r="L223" s="157">
        <v>0</v>
      </c>
      <c r="M223" s="157">
        <v>0</v>
      </c>
      <c r="N223" s="157">
        <v>0</v>
      </c>
      <c r="O223" s="157">
        <v>0</v>
      </c>
      <c r="P223" s="157">
        <v>0</v>
      </c>
      <c r="Q223" s="157">
        <v>0</v>
      </c>
      <c r="R223" s="157">
        <v>0</v>
      </c>
      <c r="S223" s="157">
        <v>0</v>
      </c>
    </row>
    <row r="224" spans="1:19" s="50" customFormat="1">
      <c r="A224" s="148"/>
      <c r="B224" s="64"/>
      <c r="C224" s="115"/>
      <c r="D224" s="60"/>
    </row>
    <row r="225" spans="1:19" s="50" customFormat="1">
      <c r="A225" s="148"/>
      <c r="B225" s="64"/>
      <c r="C225" s="115"/>
      <c r="D225" s="60"/>
      <c r="E225" s="157" t="s">
        <v>340</v>
      </c>
      <c r="F225" s="157">
        <v>0</v>
      </c>
      <c r="G225" s="157" t="s">
        <v>129</v>
      </c>
      <c r="H225" s="157">
        <v>0</v>
      </c>
      <c r="I225" s="157">
        <v>0</v>
      </c>
      <c r="J225" s="157">
        <v>0</v>
      </c>
      <c r="K225" s="157">
        <v>0</v>
      </c>
      <c r="L225" s="157">
        <v>0</v>
      </c>
      <c r="M225" s="157">
        <v>0</v>
      </c>
      <c r="N225" s="157">
        <v>0</v>
      </c>
      <c r="O225" s="157">
        <v>0</v>
      </c>
      <c r="P225" s="157">
        <v>0</v>
      </c>
      <c r="Q225" s="157">
        <v>0</v>
      </c>
      <c r="R225" s="157">
        <v>0</v>
      </c>
      <c r="S225" s="157">
        <v>0</v>
      </c>
    </row>
    <row r="226" spans="1:19" s="50" customFormat="1">
      <c r="A226" s="148"/>
      <c r="B226" s="64"/>
      <c r="C226" s="115"/>
      <c r="D226" s="60"/>
      <c r="E226" s="157" t="s">
        <v>342</v>
      </c>
      <c r="F226" s="157">
        <v>0</v>
      </c>
      <c r="G226" s="157" t="s">
        <v>129</v>
      </c>
      <c r="H226" s="157">
        <v>-5.003645148970354</v>
      </c>
      <c r="I226" s="157">
        <v>0</v>
      </c>
      <c r="J226" s="157">
        <v>0</v>
      </c>
      <c r="K226" s="157">
        <v>0</v>
      </c>
      <c r="L226" s="157">
        <v>-1.0312856413908364</v>
      </c>
      <c r="M226" s="157">
        <v>-1.0312856413908364</v>
      </c>
      <c r="N226" s="157">
        <v>-1.0312856413908364</v>
      </c>
      <c r="O226" s="157">
        <v>-0.95489411239892252</v>
      </c>
      <c r="P226" s="157">
        <v>-0.95489411239892252</v>
      </c>
      <c r="Q226" s="157">
        <v>0</v>
      </c>
      <c r="R226" s="157">
        <v>0</v>
      </c>
      <c r="S226" s="157">
        <v>0</v>
      </c>
    </row>
    <row r="227" spans="1:19" s="50" customFormat="1">
      <c r="A227" s="148"/>
      <c r="B227" s="64"/>
      <c r="C227" s="115"/>
      <c r="D227" s="60"/>
      <c r="E227" s="157" t="s">
        <v>344</v>
      </c>
      <c r="F227" s="157">
        <v>0</v>
      </c>
      <c r="G227" s="157" t="s">
        <v>129</v>
      </c>
      <c r="H227" s="157">
        <v>6.4860325569844708</v>
      </c>
      <c r="I227" s="157">
        <v>0</v>
      </c>
      <c r="J227" s="157">
        <v>0</v>
      </c>
      <c r="K227" s="157">
        <v>0</v>
      </c>
      <c r="L227" s="157">
        <v>1.3368158705235169</v>
      </c>
      <c r="M227" s="157">
        <v>1.3368158705235169</v>
      </c>
      <c r="N227" s="157">
        <v>1.3368158705235169</v>
      </c>
      <c r="O227" s="157">
        <v>1.23779247270696</v>
      </c>
      <c r="P227" s="157">
        <v>1.23779247270696</v>
      </c>
      <c r="Q227" s="157">
        <v>0</v>
      </c>
      <c r="R227" s="157">
        <v>0</v>
      </c>
      <c r="S227" s="157">
        <v>0</v>
      </c>
    </row>
    <row r="228" spans="1:19" s="50" customFormat="1">
      <c r="A228" s="148"/>
      <c r="B228" s="64"/>
      <c r="C228" s="115"/>
      <c r="D228" s="60"/>
      <c r="E228" s="157" t="s">
        <v>346</v>
      </c>
      <c r="F228" s="157">
        <v>0</v>
      </c>
      <c r="G228" s="157" t="s">
        <v>129</v>
      </c>
      <c r="H228" s="157">
        <v>0</v>
      </c>
      <c r="I228" s="157">
        <v>0</v>
      </c>
      <c r="J228" s="157">
        <v>0</v>
      </c>
      <c r="K228" s="157">
        <v>0</v>
      </c>
      <c r="L228" s="157">
        <v>0</v>
      </c>
      <c r="M228" s="157">
        <v>0</v>
      </c>
      <c r="N228" s="157">
        <v>0</v>
      </c>
      <c r="O228" s="157">
        <v>0</v>
      </c>
      <c r="P228" s="157">
        <v>0</v>
      </c>
      <c r="Q228" s="157">
        <v>0</v>
      </c>
      <c r="R228" s="157">
        <v>0</v>
      </c>
      <c r="S228" s="157">
        <v>0</v>
      </c>
    </row>
    <row r="229" spans="1:19" s="50" customFormat="1">
      <c r="A229" s="148"/>
      <c r="B229" s="64"/>
      <c r="C229" s="115"/>
      <c r="D229" s="60"/>
      <c r="E229" s="157" t="s">
        <v>348</v>
      </c>
      <c r="F229" s="157">
        <v>0</v>
      </c>
      <c r="G229" s="157" t="s">
        <v>129</v>
      </c>
      <c r="H229" s="157">
        <v>0</v>
      </c>
      <c r="I229" s="157">
        <v>0</v>
      </c>
      <c r="J229" s="157">
        <v>0</v>
      </c>
      <c r="K229" s="157">
        <v>0</v>
      </c>
      <c r="L229" s="157">
        <v>0</v>
      </c>
      <c r="M229" s="157">
        <v>0</v>
      </c>
      <c r="N229" s="157">
        <v>0</v>
      </c>
      <c r="O229" s="157">
        <v>0</v>
      </c>
      <c r="P229" s="157">
        <v>0</v>
      </c>
      <c r="Q229" s="157">
        <v>0</v>
      </c>
      <c r="R229" s="157">
        <v>0</v>
      </c>
      <c r="S229" s="157">
        <v>0</v>
      </c>
    </row>
    <row r="230" spans="1:19" s="50" customFormat="1">
      <c r="A230" s="148"/>
      <c r="B230" s="64"/>
      <c r="C230" s="115"/>
      <c r="D230" s="60"/>
      <c r="E230" s="157"/>
    </row>
    <row r="231" spans="1:19">
      <c r="B231" s="64"/>
      <c r="C231" s="115"/>
      <c r="D231" s="59"/>
      <c r="E231" s="8" t="str">
        <f xml:space="preserve"> A$167 &amp; " - " &amp; E169</f>
        <v xml:space="preserve">NEW MODEL INPUTS - Tax WR - real </v>
      </c>
      <c r="F231" s="155">
        <f t="shared" ref="F231:S231" si="40">F169</f>
        <v>0</v>
      </c>
      <c r="G231" s="155" t="str">
        <f t="shared" si="40"/>
        <v>£m</v>
      </c>
      <c r="H231" s="155">
        <f t="shared" si="40"/>
        <v>4.1351381239924825</v>
      </c>
      <c r="I231" s="155">
        <f t="shared" si="40"/>
        <v>0</v>
      </c>
      <c r="J231" s="155">
        <f t="shared" si="40"/>
        <v>0</v>
      </c>
      <c r="K231" s="155">
        <f t="shared" si="40"/>
        <v>0</v>
      </c>
      <c r="L231" s="155">
        <f t="shared" si="40"/>
        <v>1.4989174213339747</v>
      </c>
      <c r="M231" s="155">
        <f t="shared" si="40"/>
        <v>1.2600654419435358</v>
      </c>
      <c r="N231" s="155">
        <f t="shared" si="40"/>
        <v>1.0098436876959214</v>
      </c>
      <c r="O231" s="155">
        <f t="shared" si="40"/>
        <v>0</v>
      </c>
      <c r="P231" s="155">
        <f t="shared" si="40"/>
        <v>0.36631157301905076</v>
      </c>
      <c r="Q231" s="155">
        <f t="shared" si="40"/>
        <v>0</v>
      </c>
      <c r="R231" s="155">
        <f t="shared" si="40"/>
        <v>0</v>
      </c>
      <c r="S231" s="155">
        <f t="shared" si="40"/>
        <v>0</v>
      </c>
    </row>
    <row r="232" spans="1:19">
      <c r="B232" s="64"/>
      <c r="C232" s="115"/>
      <c r="D232" s="59"/>
      <c r="E232" s="8" t="str">
        <f xml:space="preserve"> A$167 &amp; " - " &amp; E170</f>
        <v xml:space="preserve">NEW MODEL INPUTS - Tax WN - real </v>
      </c>
      <c r="F232" s="155">
        <f t="shared" ref="F232:S232" si="41">F170</f>
        <v>0</v>
      </c>
      <c r="G232" s="155" t="str">
        <f t="shared" si="41"/>
        <v>£m</v>
      </c>
      <c r="H232" s="155">
        <f t="shared" si="41"/>
        <v>31.68857081571004</v>
      </c>
      <c r="I232" s="155">
        <f t="shared" si="41"/>
        <v>0</v>
      </c>
      <c r="J232" s="155">
        <f t="shared" si="41"/>
        <v>0</v>
      </c>
      <c r="K232" s="155">
        <f t="shared" si="41"/>
        <v>0</v>
      </c>
      <c r="L232" s="155">
        <f t="shared" si="41"/>
        <v>12.418768160914885</v>
      </c>
      <c r="M232" s="155">
        <f t="shared" si="41"/>
        <v>5.0798047699699946</v>
      </c>
      <c r="N232" s="155">
        <f t="shared" si="41"/>
        <v>7.2937872855977233</v>
      </c>
      <c r="O232" s="155">
        <f t="shared" si="41"/>
        <v>0</v>
      </c>
      <c r="P232" s="155">
        <f t="shared" si="41"/>
        <v>6.8962105992274374</v>
      </c>
      <c r="Q232" s="155">
        <f t="shared" si="41"/>
        <v>0</v>
      </c>
      <c r="R232" s="155">
        <f t="shared" si="41"/>
        <v>0</v>
      </c>
      <c r="S232" s="155">
        <f t="shared" si="41"/>
        <v>0</v>
      </c>
    </row>
    <row r="233" spans="1:19">
      <c r="B233" s="64"/>
      <c r="C233" s="115"/>
      <c r="D233" s="59"/>
      <c r="E233" s="8" t="str">
        <f xml:space="preserve"> A$167 &amp; " - " &amp; E171</f>
        <v>NEW MODEL INPUTS - Tax WWN - real</v>
      </c>
      <c r="F233" s="155">
        <f t="shared" ref="F233:S233" si="42">F171</f>
        <v>0</v>
      </c>
      <c r="G233" s="155" t="str">
        <f t="shared" si="42"/>
        <v>£m</v>
      </c>
      <c r="H233" s="155">
        <f t="shared" si="42"/>
        <v>41.708208616403681</v>
      </c>
      <c r="I233" s="155">
        <f t="shared" si="42"/>
        <v>0</v>
      </c>
      <c r="J233" s="155">
        <f t="shared" si="42"/>
        <v>0</v>
      </c>
      <c r="K233" s="155">
        <f t="shared" si="42"/>
        <v>0</v>
      </c>
      <c r="L233" s="155">
        <f t="shared" si="42"/>
        <v>20.948115137228623</v>
      </c>
      <c r="M233" s="155">
        <f t="shared" si="42"/>
        <v>6.7855651521829072</v>
      </c>
      <c r="N233" s="155">
        <f t="shared" si="42"/>
        <v>13.974528326992152</v>
      </c>
      <c r="O233" s="155">
        <f t="shared" si="42"/>
        <v>0</v>
      </c>
      <c r="P233" s="155">
        <f t="shared" si="42"/>
        <v>0</v>
      </c>
      <c r="Q233" s="155">
        <f t="shared" si="42"/>
        <v>0</v>
      </c>
      <c r="R233" s="155">
        <f t="shared" si="42"/>
        <v>0</v>
      </c>
      <c r="S233" s="155">
        <f t="shared" si="42"/>
        <v>0</v>
      </c>
    </row>
    <row r="234" spans="1:19">
      <c r="B234" s="64"/>
      <c r="C234" s="115"/>
      <c r="D234" s="59"/>
      <c r="E234" s="8" t="str">
        <f xml:space="preserve"> A$167 &amp; " - " &amp; E172</f>
        <v>NEW MODEL INPUTS - Tax BR - real</v>
      </c>
      <c r="F234" s="155">
        <f t="shared" ref="F234:S234" si="43">F172</f>
        <v>0</v>
      </c>
      <c r="G234" s="155" t="str">
        <f t="shared" si="43"/>
        <v>£m</v>
      </c>
      <c r="H234" s="155">
        <f t="shared" si="43"/>
        <v>6.0377158432721343</v>
      </c>
      <c r="I234" s="155">
        <f t="shared" si="43"/>
        <v>0</v>
      </c>
      <c r="J234" s="155">
        <f t="shared" si="43"/>
        <v>0</v>
      </c>
      <c r="K234" s="155">
        <f t="shared" si="43"/>
        <v>0</v>
      </c>
      <c r="L234" s="155">
        <f t="shared" si="43"/>
        <v>3.2514452083484793</v>
      </c>
      <c r="M234" s="155">
        <f t="shared" si="43"/>
        <v>0.45591470755641184</v>
      </c>
      <c r="N234" s="155">
        <f t="shared" si="43"/>
        <v>1.5163311143949088</v>
      </c>
      <c r="O234" s="155">
        <f t="shared" si="43"/>
        <v>0</v>
      </c>
      <c r="P234" s="155">
        <f t="shared" si="43"/>
        <v>0.81402481297233453</v>
      </c>
      <c r="Q234" s="155">
        <f t="shared" si="43"/>
        <v>0</v>
      </c>
      <c r="R234" s="155">
        <f t="shared" si="43"/>
        <v>0</v>
      </c>
      <c r="S234" s="155">
        <f t="shared" si="43"/>
        <v>0</v>
      </c>
    </row>
    <row r="235" spans="1:19">
      <c r="B235" s="64"/>
      <c r="C235" s="115"/>
      <c r="D235" s="59"/>
      <c r="E235" s="8" t="str">
        <f xml:space="preserve"> A$167 &amp; " - " &amp; E173</f>
        <v>NEW MODEL INPUTS - Tax DMMY - real</v>
      </c>
      <c r="F235" s="155">
        <f t="shared" ref="F235:S235" si="44">F173</f>
        <v>0</v>
      </c>
      <c r="G235" s="155" t="str">
        <f t="shared" si="44"/>
        <v>£m</v>
      </c>
      <c r="H235" s="155">
        <f t="shared" si="44"/>
        <v>0</v>
      </c>
      <c r="I235" s="155">
        <f t="shared" si="44"/>
        <v>0</v>
      </c>
      <c r="J235" s="155">
        <f t="shared" si="44"/>
        <v>0</v>
      </c>
      <c r="K235" s="155">
        <f t="shared" si="44"/>
        <v>0</v>
      </c>
      <c r="L235" s="155">
        <f t="shared" si="44"/>
        <v>0</v>
      </c>
      <c r="M235" s="155">
        <f t="shared" si="44"/>
        <v>0</v>
      </c>
      <c r="N235" s="155">
        <f t="shared" si="44"/>
        <v>0</v>
      </c>
      <c r="O235" s="155">
        <f t="shared" si="44"/>
        <v>0</v>
      </c>
      <c r="P235" s="155">
        <f t="shared" si="44"/>
        <v>0</v>
      </c>
      <c r="Q235" s="155">
        <f t="shared" si="44"/>
        <v>0</v>
      </c>
      <c r="R235" s="155">
        <f t="shared" si="44"/>
        <v>0</v>
      </c>
      <c r="S235" s="155">
        <f t="shared" si="44"/>
        <v>0</v>
      </c>
    </row>
    <row r="236" spans="1:19">
      <c r="B236" s="64"/>
      <c r="C236" s="115"/>
      <c r="D236" s="59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</row>
    <row r="237" spans="1:19">
      <c r="B237" s="64"/>
      <c r="C237" s="115"/>
      <c r="D237" s="59"/>
      <c r="E237" s="8" t="str">
        <f xml:space="preserve"> A$167 &amp; " - " &amp; E175</f>
        <v>NEW MODEL INPUTS - Water resources - Allowed Revenues - real</v>
      </c>
      <c r="F237" s="155">
        <f t="shared" ref="F237:S237" si="45">F175</f>
        <v>0</v>
      </c>
      <c r="G237" s="155" t="str">
        <f t="shared" si="45"/>
        <v>£m</v>
      </c>
      <c r="H237" s="155">
        <f t="shared" si="45"/>
        <v>683.47268147348336</v>
      </c>
      <c r="I237" s="155">
        <f t="shared" si="45"/>
        <v>0</v>
      </c>
      <c r="J237" s="155">
        <f t="shared" si="45"/>
        <v>0</v>
      </c>
      <c r="K237" s="155">
        <f t="shared" si="45"/>
        <v>0</v>
      </c>
      <c r="L237" s="155">
        <f t="shared" si="45"/>
        <v>99.082188445962743</v>
      </c>
      <c r="M237" s="155">
        <f t="shared" si="45"/>
        <v>99.603886226687237</v>
      </c>
      <c r="N237" s="155">
        <f t="shared" si="45"/>
        <v>100.88731011346469</v>
      </c>
      <c r="O237" s="155">
        <f t="shared" si="45"/>
        <v>104.92175704654343</v>
      </c>
      <c r="P237" s="155">
        <f t="shared" si="45"/>
        <v>112.32459247725187</v>
      </c>
      <c r="Q237" s="155">
        <f t="shared" si="45"/>
        <v>35.383295572084961</v>
      </c>
      <c r="R237" s="155">
        <f t="shared" si="45"/>
        <v>34.876323472310339</v>
      </c>
      <c r="S237" s="155">
        <f t="shared" si="45"/>
        <v>33.284952333922412</v>
      </c>
    </row>
    <row r="238" spans="1:19">
      <c r="B238" s="64"/>
      <c r="C238" s="115"/>
      <c r="D238" s="59"/>
      <c r="E238" s="8" t="str">
        <f xml:space="preserve"> A$167 &amp; " - " &amp; E176</f>
        <v>NEW MODEL INPUTS - Water network - Allowed Revenues - real</v>
      </c>
      <c r="F238" s="155">
        <f t="shared" ref="F238:S238" si="46">F176</f>
        <v>0</v>
      </c>
      <c r="G238" s="155" t="str">
        <f t="shared" si="46"/>
        <v>£m</v>
      </c>
      <c r="H238" s="155">
        <f t="shared" si="46"/>
        <v>4073.8514605559385</v>
      </c>
      <c r="I238" s="155">
        <f t="shared" si="46"/>
        <v>0</v>
      </c>
      <c r="J238" s="155">
        <f t="shared" si="46"/>
        <v>0</v>
      </c>
      <c r="K238" s="155">
        <f t="shared" si="46"/>
        <v>0</v>
      </c>
      <c r="L238" s="155">
        <f t="shared" si="46"/>
        <v>588.02319644343993</v>
      </c>
      <c r="M238" s="155">
        <f t="shared" si="46"/>
        <v>584.59670388626444</v>
      </c>
      <c r="N238" s="155">
        <f t="shared" si="46"/>
        <v>585.54154544347477</v>
      </c>
      <c r="O238" s="155">
        <f t="shared" si="46"/>
        <v>587.01461686402774</v>
      </c>
      <c r="P238" s="155">
        <f t="shared" si="46"/>
        <v>585.54152521768833</v>
      </c>
      <c r="Q238" s="155">
        <f t="shared" si="46"/>
        <v>251.59409795987349</v>
      </c>
      <c r="R238" s="155">
        <f t="shared" si="46"/>
        <v>238.27451560645642</v>
      </c>
      <c r="S238" s="155">
        <f t="shared" si="46"/>
        <v>227.30281774426447</v>
      </c>
    </row>
    <row r="239" spans="1:19">
      <c r="B239" s="64"/>
      <c r="C239" s="115"/>
      <c r="D239" s="59"/>
      <c r="E239" s="8" t="str">
        <f xml:space="preserve"> A$167 &amp; " - " &amp; E177</f>
        <v>NEW MODEL INPUTS - Wastewater network - Allowed Revenues - real</v>
      </c>
      <c r="F239" s="155">
        <f t="shared" ref="F239:S239" si="47">F177</f>
        <v>0</v>
      </c>
      <c r="G239" s="155" t="str">
        <f t="shared" si="47"/>
        <v>£m</v>
      </c>
      <c r="H239" s="155">
        <f t="shared" si="47"/>
        <v>5791.5651694793423</v>
      </c>
      <c r="I239" s="155">
        <f t="shared" si="47"/>
        <v>0</v>
      </c>
      <c r="J239" s="155">
        <f t="shared" si="47"/>
        <v>0</v>
      </c>
      <c r="K239" s="155">
        <f t="shared" si="47"/>
        <v>0</v>
      </c>
      <c r="L239" s="155">
        <f t="shared" si="47"/>
        <v>764.70830748373032</v>
      </c>
      <c r="M239" s="155">
        <f t="shared" si="47"/>
        <v>737.74979394422587</v>
      </c>
      <c r="N239" s="155">
        <f t="shared" si="47"/>
        <v>741.15174400379567</v>
      </c>
      <c r="O239" s="155">
        <f t="shared" si="47"/>
        <v>736.04628798872034</v>
      </c>
      <c r="P239" s="155">
        <f t="shared" si="47"/>
        <v>741.4012468545659</v>
      </c>
      <c r="Q239" s="155">
        <f t="shared" si="47"/>
        <v>446.41099966335156</v>
      </c>
      <c r="R239" s="155">
        <f t="shared" si="47"/>
        <v>430.26228007439397</v>
      </c>
      <c r="S239" s="155">
        <f t="shared" si="47"/>
        <v>414.25557952067106</v>
      </c>
    </row>
    <row r="240" spans="1:19">
      <c r="B240" s="64"/>
      <c r="C240" s="115"/>
      <c r="D240" s="59"/>
      <c r="E240" s="8" t="str">
        <f xml:space="preserve"> A$167 &amp; " - " &amp; E178</f>
        <v>NEW MODEL INPUTS - Bio resources - Allowed Revenues - real</v>
      </c>
      <c r="F240" s="155">
        <f t="shared" ref="F240:S240" si="48">F178</f>
        <v>0</v>
      </c>
      <c r="G240" s="155" t="str">
        <f t="shared" si="48"/>
        <v>£m</v>
      </c>
      <c r="H240" s="155">
        <f t="shared" si="48"/>
        <v>689.68152933323347</v>
      </c>
      <c r="I240" s="155">
        <f t="shared" si="48"/>
        <v>0</v>
      </c>
      <c r="J240" s="155">
        <f t="shared" si="48"/>
        <v>0</v>
      </c>
      <c r="K240" s="155">
        <f t="shared" si="48"/>
        <v>0</v>
      </c>
      <c r="L240" s="155">
        <f t="shared" si="48"/>
        <v>92.062655184371962</v>
      </c>
      <c r="M240" s="155">
        <f t="shared" si="48"/>
        <v>90.232006650683033</v>
      </c>
      <c r="N240" s="155">
        <f t="shared" si="48"/>
        <v>92.685762455277597</v>
      </c>
      <c r="O240" s="155">
        <f t="shared" si="48"/>
        <v>91.989796894656763</v>
      </c>
      <c r="P240" s="155">
        <f t="shared" si="48"/>
        <v>93.914655707327768</v>
      </c>
      <c r="Q240" s="155">
        <f t="shared" si="48"/>
        <v>52.975639225898284</v>
      </c>
      <c r="R240" s="155">
        <f t="shared" si="48"/>
        <v>48.938556300785436</v>
      </c>
      <c r="S240" s="155">
        <f t="shared" si="48"/>
        <v>45.495610069135942</v>
      </c>
    </row>
    <row r="241" spans="2:19">
      <c r="B241" s="64"/>
      <c r="C241" s="115"/>
      <c r="D241" s="59"/>
      <c r="E241" s="8" t="str">
        <f xml:space="preserve"> A$167 &amp; " - " &amp; E179</f>
        <v>NEW MODEL INPUTS - Dummy control - Allowed Revenues - real</v>
      </c>
      <c r="F241" s="155">
        <f t="shared" ref="F241:S241" si="49">F179</f>
        <v>0</v>
      </c>
      <c r="G241" s="155" t="str">
        <f t="shared" si="49"/>
        <v>£m</v>
      </c>
      <c r="H241" s="155">
        <f t="shared" si="49"/>
        <v>0</v>
      </c>
      <c r="I241" s="155">
        <f t="shared" si="49"/>
        <v>0</v>
      </c>
      <c r="J241" s="155">
        <f t="shared" si="49"/>
        <v>0</v>
      </c>
      <c r="K241" s="155">
        <f t="shared" si="49"/>
        <v>0</v>
      </c>
      <c r="L241" s="155">
        <f t="shared" si="49"/>
        <v>0</v>
      </c>
      <c r="M241" s="155">
        <f t="shared" si="49"/>
        <v>0</v>
      </c>
      <c r="N241" s="155">
        <f t="shared" si="49"/>
        <v>0</v>
      </c>
      <c r="O241" s="155">
        <f t="shared" si="49"/>
        <v>0</v>
      </c>
      <c r="P241" s="155">
        <f t="shared" si="49"/>
        <v>0</v>
      </c>
      <c r="Q241" s="155">
        <f t="shared" si="49"/>
        <v>0</v>
      </c>
      <c r="R241" s="155">
        <f t="shared" si="49"/>
        <v>0</v>
      </c>
      <c r="S241" s="155">
        <f t="shared" si="49"/>
        <v>0</v>
      </c>
    </row>
    <row r="242" spans="2:19">
      <c r="B242" s="64"/>
      <c r="C242" s="115"/>
      <c r="D242" s="59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</row>
    <row r="243" spans="2:19">
      <c r="B243" s="64"/>
      <c r="C243" s="115"/>
      <c r="D243" s="59"/>
      <c r="E243" s="8" t="str">
        <f xml:space="preserve"> A$167 &amp; " - " &amp; E181</f>
        <v>NEW MODEL INPUTS - Capital expenditure writing down allowance pool 1</v>
      </c>
      <c r="F243" s="271">
        <f t="shared" ref="F243:S243" si="50">F181</f>
        <v>0.18</v>
      </c>
      <c r="G243" s="155" t="str">
        <f t="shared" si="50"/>
        <v>%</v>
      </c>
      <c r="H243" s="155">
        <f t="shared" si="50"/>
        <v>0</v>
      </c>
      <c r="I243" s="155">
        <f t="shared" si="50"/>
        <v>0</v>
      </c>
      <c r="J243" s="155">
        <f t="shared" si="50"/>
        <v>0</v>
      </c>
      <c r="K243" s="155">
        <f t="shared" si="50"/>
        <v>0</v>
      </c>
      <c r="L243" s="155">
        <f t="shared" si="50"/>
        <v>0</v>
      </c>
      <c r="M243" s="155">
        <f t="shared" si="50"/>
        <v>0</v>
      </c>
      <c r="N243" s="155">
        <f t="shared" si="50"/>
        <v>0</v>
      </c>
      <c r="O243" s="155">
        <f t="shared" si="50"/>
        <v>0</v>
      </c>
      <c r="P243" s="155">
        <f t="shared" si="50"/>
        <v>0</v>
      </c>
      <c r="Q243" s="155">
        <f t="shared" si="50"/>
        <v>0</v>
      </c>
      <c r="R243" s="155">
        <f t="shared" si="50"/>
        <v>0</v>
      </c>
      <c r="S243" s="155">
        <f t="shared" si="50"/>
        <v>0</v>
      </c>
    </row>
    <row r="244" spans="2:19">
      <c r="B244" s="64"/>
      <c r="C244" s="115"/>
      <c r="D244" s="59"/>
      <c r="E244" s="8" t="str">
        <f xml:space="preserve"> A$167 &amp; " - " &amp; E182</f>
        <v>NEW MODEL INPUTS - Capital expenditure writing down allowance pool 2</v>
      </c>
      <c r="F244" s="271">
        <f t="shared" ref="F244:S244" si="51">F182</f>
        <v>0.06</v>
      </c>
      <c r="G244" s="155" t="str">
        <f t="shared" si="51"/>
        <v>%</v>
      </c>
      <c r="H244" s="155">
        <f t="shared" si="51"/>
        <v>0</v>
      </c>
      <c r="I244" s="155">
        <f t="shared" si="51"/>
        <v>0</v>
      </c>
      <c r="J244" s="155">
        <f t="shared" si="51"/>
        <v>0</v>
      </c>
      <c r="K244" s="155">
        <f t="shared" si="51"/>
        <v>0</v>
      </c>
      <c r="L244" s="155">
        <f t="shared" si="51"/>
        <v>0</v>
      </c>
      <c r="M244" s="155">
        <f t="shared" si="51"/>
        <v>0</v>
      </c>
      <c r="N244" s="155">
        <f t="shared" si="51"/>
        <v>0</v>
      </c>
      <c r="O244" s="155">
        <f t="shared" si="51"/>
        <v>0</v>
      </c>
      <c r="P244" s="155">
        <f t="shared" si="51"/>
        <v>0</v>
      </c>
      <c r="Q244" s="155">
        <f t="shared" si="51"/>
        <v>0</v>
      </c>
      <c r="R244" s="155">
        <f t="shared" si="51"/>
        <v>0</v>
      </c>
      <c r="S244" s="155">
        <f t="shared" si="51"/>
        <v>0</v>
      </c>
    </row>
    <row r="245" spans="2:19">
      <c r="B245" s="64"/>
      <c r="C245" s="115"/>
      <c r="D245" s="59"/>
      <c r="E245" s="8" t="str">
        <f xml:space="preserve"> A$167 &amp; " - " &amp; E183</f>
        <v>NEW MODEL INPUTS - Capital expenditure writing down allowance pool 3</v>
      </c>
      <c r="F245" s="271">
        <f t="shared" ref="F245:S245" si="52">F183</f>
        <v>0.03</v>
      </c>
      <c r="G245" s="155" t="str">
        <f t="shared" si="52"/>
        <v>%</v>
      </c>
      <c r="H245" s="155">
        <f t="shared" si="52"/>
        <v>0</v>
      </c>
      <c r="I245" s="155">
        <f t="shared" si="52"/>
        <v>0</v>
      </c>
      <c r="J245" s="155">
        <f t="shared" si="52"/>
        <v>0</v>
      </c>
      <c r="K245" s="155">
        <f t="shared" si="52"/>
        <v>0</v>
      </c>
      <c r="L245" s="155">
        <f t="shared" si="52"/>
        <v>0</v>
      </c>
      <c r="M245" s="155">
        <f t="shared" si="52"/>
        <v>0</v>
      </c>
      <c r="N245" s="155">
        <f t="shared" si="52"/>
        <v>0</v>
      </c>
      <c r="O245" s="155">
        <f t="shared" si="52"/>
        <v>0</v>
      </c>
      <c r="P245" s="155">
        <f t="shared" si="52"/>
        <v>0</v>
      </c>
      <c r="Q245" s="155">
        <f t="shared" si="52"/>
        <v>0</v>
      </c>
      <c r="R245" s="155">
        <f t="shared" si="52"/>
        <v>0</v>
      </c>
      <c r="S245" s="155">
        <f t="shared" si="52"/>
        <v>0</v>
      </c>
    </row>
    <row r="246" spans="2:19">
      <c r="B246" s="64"/>
      <c r="C246" s="115"/>
      <c r="D246" s="59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</row>
    <row r="247" spans="2:19">
      <c r="B247" s="64"/>
      <c r="C247" s="115"/>
      <c r="D247" s="59"/>
      <c r="E247" s="8" t="str">
        <f xml:space="preserve"> A$167 &amp; " - " &amp; E185</f>
        <v>NEW MODEL INPUTS - Statutory Corporation tax rate</v>
      </c>
      <c r="F247" s="155" t="str">
        <f t="shared" ref="F247:S247" si="53">F185</f>
        <v>Global input</v>
      </c>
      <c r="G247" s="155" t="str">
        <f t="shared" si="53"/>
        <v>%</v>
      </c>
      <c r="H247" s="155">
        <f t="shared" si="53"/>
        <v>0</v>
      </c>
      <c r="I247" s="155">
        <f t="shared" si="53"/>
        <v>0</v>
      </c>
      <c r="J247" s="271">
        <f t="shared" si="53"/>
        <v>0</v>
      </c>
      <c r="K247" s="271">
        <f t="shared" si="53"/>
        <v>0</v>
      </c>
      <c r="L247" s="271">
        <f t="shared" si="53"/>
        <v>0.19</v>
      </c>
      <c r="M247" s="271">
        <f t="shared" si="53"/>
        <v>0.19</v>
      </c>
      <c r="N247" s="271">
        <f t="shared" si="53"/>
        <v>0.19</v>
      </c>
      <c r="O247" s="271">
        <f t="shared" si="53"/>
        <v>0.25</v>
      </c>
      <c r="P247" s="271">
        <f t="shared" si="53"/>
        <v>0.25</v>
      </c>
      <c r="Q247" s="271">
        <f t="shared" si="53"/>
        <v>0</v>
      </c>
      <c r="R247" s="271">
        <f t="shared" si="53"/>
        <v>0</v>
      </c>
      <c r="S247" s="271">
        <f t="shared" si="53"/>
        <v>0</v>
      </c>
    </row>
    <row r="248" spans="2:19">
      <c r="B248" s="64"/>
      <c r="C248" s="115"/>
      <c r="D248" s="59"/>
    </row>
    <row r="249" spans="2:19">
      <c r="B249" s="64"/>
      <c r="C249" s="115"/>
      <c r="D249" s="59"/>
      <c r="E249" s="8" t="str">
        <f xml:space="preserve"> A$167 &amp; " - " &amp; E187</f>
        <v>NEW MODEL INPUTS - Notional Cost of Debt override - real</v>
      </c>
      <c r="F249" s="155">
        <f t="shared" ref="F249:S249" si="54">F187</f>
        <v>0</v>
      </c>
      <c r="G249" s="155" t="str">
        <f t="shared" si="54"/>
        <v>%</v>
      </c>
      <c r="H249" s="155">
        <f t="shared" si="54"/>
        <v>0</v>
      </c>
      <c r="I249" s="155">
        <f t="shared" si="54"/>
        <v>0</v>
      </c>
      <c r="J249" s="271">
        <f t="shared" si="54"/>
        <v>0</v>
      </c>
      <c r="K249" s="271">
        <f t="shared" si="54"/>
        <v>0</v>
      </c>
      <c r="L249" s="271">
        <f t="shared" si="54"/>
        <v>1.427449580173068E-2</v>
      </c>
      <c r="M249" s="271">
        <f t="shared" si="54"/>
        <v>1.2478158635960135E-2</v>
      </c>
      <c r="N249" s="271">
        <f t="shared" si="54"/>
        <v>1.1712575270535597E-2</v>
      </c>
      <c r="O249" s="271">
        <f t="shared" si="54"/>
        <v>1.2230148354421599E-2</v>
      </c>
      <c r="P249" s="271">
        <f t="shared" si="54"/>
        <v>1.3106033220900315E-2</v>
      </c>
      <c r="Q249" s="271">
        <f t="shared" si="54"/>
        <v>1.1490003519418313E-2</v>
      </c>
      <c r="R249" s="271">
        <f t="shared" si="54"/>
        <v>1.1490003519418313E-2</v>
      </c>
      <c r="S249" s="271">
        <f t="shared" si="54"/>
        <v>1.1490003519418313E-2</v>
      </c>
    </row>
    <row r="250" spans="2:19">
      <c r="B250" s="64"/>
      <c r="C250" s="115"/>
      <c r="D250" s="59"/>
      <c r="E250" s="8" t="str">
        <f xml:space="preserve"> A$167 &amp; " - " &amp; E188</f>
        <v>NEW MODEL INPUTS - Indexation rate for index linked debt percentage increase - override</v>
      </c>
      <c r="F250" s="155">
        <f t="shared" ref="F250:S250" si="55">F188</f>
        <v>0</v>
      </c>
      <c r="G250" s="155" t="str">
        <f t="shared" si="55"/>
        <v>%</v>
      </c>
      <c r="H250" s="155">
        <f t="shared" si="55"/>
        <v>0</v>
      </c>
      <c r="I250" s="155">
        <f t="shared" si="55"/>
        <v>0</v>
      </c>
      <c r="J250" s="271">
        <f t="shared" si="55"/>
        <v>0</v>
      </c>
      <c r="K250" s="271">
        <f t="shared" si="55"/>
        <v>0</v>
      </c>
      <c r="L250" s="271">
        <f t="shared" si="55"/>
        <v>0.03</v>
      </c>
      <c r="M250" s="271">
        <f t="shared" si="55"/>
        <v>0.03</v>
      </c>
      <c r="N250" s="271">
        <f t="shared" si="55"/>
        <v>0.03</v>
      </c>
      <c r="O250" s="271">
        <f t="shared" si="55"/>
        <v>0.03</v>
      </c>
      <c r="P250" s="271">
        <f t="shared" si="55"/>
        <v>0.03</v>
      </c>
      <c r="Q250" s="271">
        <f t="shared" si="55"/>
        <v>0.03</v>
      </c>
      <c r="R250" s="271">
        <f t="shared" si="55"/>
        <v>0.03</v>
      </c>
      <c r="S250" s="271">
        <f t="shared" si="55"/>
        <v>0.03</v>
      </c>
    </row>
    <row r="251" spans="2:19">
      <c r="B251" s="64"/>
      <c r="C251" s="115"/>
      <c r="D251" s="59"/>
      <c r="E251" s="8" t="str">
        <f xml:space="preserve"> A$167 &amp; " - " &amp; E189</f>
        <v>NEW MODEL INPUTS - Notional Cost of Debt override (nominal)</v>
      </c>
      <c r="F251" s="155">
        <f t="shared" ref="F251:S251" si="56">F189</f>
        <v>0</v>
      </c>
      <c r="G251" s="155" t="str">
        <f t="shared" si="56"/>
        <v>%</v>
      </c>
      <c r="H251" s="155">
        <f t="shared" si="56"/>
        <v>0</v>
      </c>
      <c r="I251" s="155">
        <f t="shared" si="56"/>
        <v>0</v>
      </c>
      <c r="J251" s="271">
        <f t="shared" si="56"/>
        <v>0</v>
      </c>
      <c r="K251" s="271">
        <f t="shared" si="56"/>
        <v>0</v>
      </c>
      <c r="L251" s="271">
        <f t="shared" si="56"/>
        <v>4.4702730675782454E-2</v>
      </c>
      <c r="M251" s="271">
        <f t="shared" si="56"/>
        <v>4.2852503395038766E-2</v>
      </c>
      <c r="N251" s="271">
        <f t="shared" si="56"/>
        <v>4.2063952528651805E-2</v>
      </c>
      <c r="O251" s="271">
        <f t="shared" si="56"/>
        <v>4.2597052805054436E-2</v>
      </c>
      <c r="P251" s="271">
        <f t="shared" si="56"/>
        <v>4.3499214217527338E-2</v>
      </c>
      <c r="Q251" s="271">
        <f t="shared" si="56"/>
        <v>4.1834703625000857E-2</v>
      </c>
      <c r="R251" s="271">
        <f t="shared" si="56"/>
        <v>4.1834703625000857E-2</v>
      </c>
      <c r="S251" s="271">
        <f t="shared" si="56"/>
        <v>4.1834703625000857E-2</v>
      </c>
    </row>
    <row r="252" spans="2:19">
      <c r="B252" s="64"/>
      <c r="C252" s="115"/>
      <c r="D252" s="59"/>
    </row>
    <row r="253" spans="2:19">
      <c r="E253" s="8" t="str">
        <f xml:space="preserve"> A$167 &amp; " - " &amp; E191</f>
        <v>NEW MODEL INPUTS - Re-profiled revenues active switch - WR, WN, WWN, BR, DMMY</v>
      </c>
      <c r="F253" s="155">
        <f t="shared" ref="F253:G255" si="57">F191</f>
        <v>0</v>
      </c>
      <c r="G253" s="155" t="str">
        <f t="shared" si="57"/>
        <v>1 = Active, 0 = Inactive</v>
      </c>
    </row>
    <row r="254" spans="2:19"/>
    <row r="255" spans="2:19">
      <c r="E255" s="8" t="str">
        <f xml:space="preserve"> A$167 &amp; " - " &amp; E193</f>
        <v>NEW MODEL INPUTS - Total 5 year model integrity checks</v>
      </c>
      <c r="F255" s="155">
        <f t="shared" si="57"/>
        <v>0</v>
      </c>
      <c r="G255" s="155" t="str">
        <f t="shared" si="57"/>
        <v>checks</v>
      </c>
    </row>
    <row r="256" spans="2:19">
      <c r="F256" s="155"/>
      <c r="G256" s="155"/>
    </row>
    <row r="257" spans="5:19">
      <c r="E257" s="8" t="str">
        <f xml:space="preserve"> A$167 &amp; " - " &amp; E195</f>
        <v>NEW MODEL INPUTS - Totex - Tax allowance switch - WR</v>
      </c>
      <c r="F257" s="155">
        <f t="shared" ref="F257:S257" si="58">F195</f>
        <v>0</v>
      </c>
      <c r="G257" s="155" t="str">
        <f t="shared" si="58"/>
        <v>0 = Allowed, 1 = Not allowed</v>
      </c>
      <c r="H257" s="155">
        <f t="shared" si="58"/>
        <v>0</v>
      </c>
      <c r="I257" s="155">
        <f t="shared" si="58"/>
        <v>0</v>
      </c>
      <c r="J257" s="271" t="str">
        <f t="shared" si="58"/>
        <v>na</v>
      </c>
      <c r="K257" s="271" t="str">
        <f t="shared" si="58"/>
        <v>na</v>
      </c>
      <c r="L257" s="271">
        <f t="shared" si="58"/>
        <v>1</v>
      </c>
      <c r="M257" s="271">
        <f t="shared" si="58"/>
        <v>1</v>
      </c>
      <c r="N257" s="271">
        <f t="shared" si="58"/>
        <v>1</v>
      </c>
      <c r="O257" s="271">
        <f t="shared" si="58"/>
        <v>1</v>
      </c>
      <c r="P257" s="271">
        <f t="shared" si="58"/>
        <v>1</v>
      </c>
      <c r="Q257" s="271">
        <f t="shared" si="58"/>
        <v>0</v>
      </c>
      <c r="R257" s="271">
        <f t="shared" si="58"/>
        <v>0</v>
      </c>
      <c r="S257" s="271">
        <f t="shared" si="58"/>
        <v>0</v>
      </c>
    </row>
    <row r="258" spans="5:19">
      <c r="E258" s="8" t="str">
        <f xml:space="preserve"> A$167 &amp; " - " &amp; E196</f>
        <v>NEW MODEL INPUTS - Totex - Tax allowance switch - WN</v>
      </c>
      <c r="F258" s="155">
        <f t="shared" ref="F258:S258" si="59">F196</f>
        <v>0</v>
      </c>
      <c r="G258" s="155" t="str">
        <f t="shared" si="59"/>
        <v>0 = Allowed, 1 = Not allowed</v>
      </c>
      <c r="H258" s="155">
        <f t="shared" si="59"/>
        <v>0</v>
      </c>
      <c r="I258" s="155">
        <f t="shared" si="59"/>
        <v>0</v>
      </c>
      <c r="J258" s="271" t="str">
        <f t="shared" si="59"/>
        <v>na</v>
      </c>
      <c r="K258" s="271" t="str">
        <f t="shared" si="59"/>
        <v>na</v>
      </c>
      <c r="L258" s="271">
        <f t="shared" si="59"/>
        <v>1</v>
      </c>
      <c r="M258" s="271">
        <f t="shared" si="59"/>
        <v>1</v>
      </c>
      <c r="N258" s="271">
        <f t="shared" si="59"/>
        <v>1</v>
      </c>
      <c r="O258" s="271">
        <f t="shared" si="59"/>
        <v>1</v>
      </c>
      <c r="P258" s="271">
        <f t="shared" si="59"/>
        <v>1</v>
      </c>
      <c r="Q258" s="271">
        <f t="shared" si="59"/>
        <v>0</v>
      </c>
      <c r="R258" s="271">
        <f t="shared" si="59"/>
        <v>0</v>
      </c>
      <c r="S258" s="271">
        <f t="shared" si="59"/>
        <v>0</v>
      </c>
    </row>
    <row r="259" spans="5:19">
      <c r="E259" s="8" t="str">
        <f xml:space="preserve"> A$167 &amp; " - " &amp; E197</f>
        <v>NEW MODEL INPUTS - Totex - Tax allowance switch - WWN</v>
      </c>
      <c r="F259" s="155">
        <f t="shared" ref="F259:S259" si="60">F197</f>
        <v>0</v>
      </c>
      <c r="G259" s="155" t="str">
        <f t="shared" si="60"/>
        <v>0 = Allowed, 1 = Not allowed</v>
      </c>
      <c r="H259" s="155">
        <f t="shared" si="60"/>
        <v>0</v>
      </c>
      <c r="I259" s="155">
        <f t="shared" si="60"/>
        <v>0</v>
      </c>
      <c r="J259" s="271" t="str">
        <f t="shared" si="60"/>
        <v>na</v>
      </c>
      <c r="K259" s="271" t="str">
        <f t="shared" si="60"/>
        <v>na</v>
      </c>
      <c r="L259" s="271">
        <f t="shared" si="60"/>
        <v>1</v>
      </c>
      <c r="M259" s="271">
        <f t="shared" si="60"/>
        <v>1</v>
      </c>
      <c r="N259" s="271">
        <f t="shared" si="60"/>
        <v>1</v>
      </c>
      <c r="O259" s="271">
        <f t="shared" si="60"/>
        <v>1</v>
      </c>
      <c r="P259" s="271">
        <f t="shared" si="60"/>
        <v>1</v>
      </c>
      <c r="Q259" s="271">
        <f t="shared" si="60"/>
        <v>0</v>
      </c>
      <c r="R259" s="271">
        <f t="shared" si="60"/>
        <v>0</v>
      </c>
      <c r="S259" s="271">
        <f t="shared" si="60"/>
        <v>0</v>
      </c>
    </row>
    <row r="260" spans="5:19">
      <c r="E260" s="8" t="str">
        <f xml:space="preserve"> A$167 &amp; " - " &amp; E198</f>
        <v>NEW MODEL INPUTS - Totex - Tax allowance switch - BR</v>
      </c>
      <c r="F260" s="155">
        <f t="shared" ref="F260:S260" si="61">F198</f>
        <v>0</v>
      </c>
      <c r="G260" s="155" t="str">
        <f t="shared" si="61"/>
        <v>0 = Allowed, 1 = Not allowed</v>
      </c>
      <c r="H260" s="155">
        <f t="shared" si="61"/>
        <v>0</v>
      </c>
      <c r="I260" s="155">
        <f t="shared" si="61"/>
        <v>0</v>
      </c>
      <c r="J260" s="271" t="str">
        <f t="shared" si="61"/>
        <v>na</v>
      </c>
      <c r="K260" s="271" t="str">
        <f t="shared" si="61"/>
        <v>na</v>
      </c>
      <c r="L260" s="271">
        <f t="shared" si="61"/>
        <v>1</v>
      </c>
      <c r="M260" s="271">
        <f t="shared" si="61"/>
        <v>1</v>
      </c>
      <c r="N260" s="271">
        <f t="shared" si="61"/>
        <v>1</v>
      </c>
      <c r="O260" s="271">
        <f t="shared" si="61"/>
        <v>1</v>
      </c>
      <c r="P260" s="271">
        <f t="shared" si="61"/>
        <v>1</v>
      </c>
      <c r="Q260" s="271">
        <f t="shared" si="61"/>
        <v>0</v>
      </c>
      <c r="R260" s="271">
        <f t="shared" si="61"/>
        <v>0</v>
      </c>
      <c r="S260" s="271">
        <f t="shared" si="61"/>
        <v>0</v>
      </c>
    </row>
    <row r="261" spans="5:19">
      <c r="E261" s="8" t="str">
        <f xml:space="preserve"> A$167 &amp; " - " &amp; E199</f>
        <v>NEW MODEL INPUTS - Totex - Tax allowance switch - DMMY</v>
      </c>
      <c r="F261" s="155">
        <f t="shared" ref="F261:S261" si="62">F199</f>
        <v>0</v>
      </c>
      <c r="G261" s="155" t="str">
        <f t="shared" si="62"/>
        <v>0 = Allowed, 1 = Not allowed</v>
      </c>
      <c r="H261" s="155">
        <f t="shared" si="62"/>
        <v>0</v>
      </c>
      <c r="I261" s="155">
        <f t="shared" si="62"/>
        <v>0</v>
      </c>
      <c r="J261" s="271" t="str">
        <f t="shared" si="62"/>
        <v>na</v>
      </c>
      <c r="K261" s="271" t="str">
        <f t="shared" si="62"/>
        <v>na</v>
      </c>
      <c r="L261" s="271">
        <f t="shared" si="62"/>
        <v>0</v>
      </c>
      <c r="M261" s="271">
        <f t="shared" si="62"/>
        <v>0</v>
      </c>
      <c r="N261" s="271">
        <f t="shared" si="62"/>
        <v>0</v>
      </c>
      <c r="O261" s="271">
        <f t="shared" si="62"/>
        <v>0</v>
      </c>
      <c r="P261" s="271">
        <f t="shared" si="62"/>
        <v>0</v>
      </c>
      <c r="Q261" s="271">
        <f t="shared" si="62"/>
        <v>0</v>
      </c>
      <c r="R261" s="271">
        <f t="shared" si="62"/>
        <v>0</v>
      </c>
      <c r="S261" s="271">
        <f t="shared" si="62"/>
        <v>0</v>
      </c>
    </row>
    <row r="262" spans="5:19">
      <c r="F262" s="155"/>
      <c r="G262" s="155"/>
      <c r="H262" s="155"/>
      <c r="I262" s="155"/>
      <c r="J262" s="271"/>
      <c r="K262" s="271"/>
      <c r="L262" s="271"/>
      <c r="M262" s="271"/>
      <c r="N262" s="271"/>
      <c r="O262" s="271"/>
      <c r="P262" s="271"/>
      <c r="Q262" s="271"/>
      <c r="R262" s="271"/>
      <c r="S262" s="271"/>
    </row>
    <row r="263" spans="5:19">
      <c r="E263" s="8" t="str">
        <f xml:space="preserve"> A$167 &amp; " - " &amp; E201</f>
        <v>NEW MODEL INPUTS - WRFIM - Tax allowance switch - WR</v>
      </c>
      <c r="F263" s="155">
        <f t="shared" ref="F263:S263" si="63">F201</f>
        <v>0</v>
      </c>
      <c r="G263" s="155" t="str">
        <f t="shared" si="63"/>
        <v>0 = Allowed, 1 = Not allowed</v>
      </c>
      <c r="H263" s="155">
        <f t="shared" si="63"/>
        <v>0</v>
      </c>
      <c r="I263" s="155">
        <f t="shared" si="63"/>
        <v>0</v>
      </c>
      <c r="J263" s="271" t="str">
        <f t="shared" si="63"/>
        <v>na</v>
      </c>
      <c r="K263" s="271" t="str">
        <f t="shared" si="63"/>
        <v>na</v>
      </c>
      <c r="L263" s="271">
        <f t="shared" si="63"/>
        <v>1</v>
      </c>
      <c r="M263" s="271">
        <f t="shared" si="63"/>
        <v>1</v>
      </c>
      <c r="N263" s="271">
        <f t="shared" si="63"/>
        <v>1</v>
      </c>
      <c r="O263" s="271">
        <f t="shared" si="63"/>
        <v>1</v>
      </c>
      <c r="P263" s="271">
        <f t="shared" si="63"/>
        <v>1</v>
      </c>
      <c r="Q263" s="271">
        <f t="shared" si="63"/>
        <v>0</v>
      </c>
      <c r="R263" s="271">
        <f t="shared" si="63"/>
        <v>0</v>
      </c>
      <c r="S263" s="271">
        <f t="shared" si="63"/>
        <v>0</v>
      </c>
    </row>
    <row r="264" spans="5:19">
      <c r="E264" s="8" t="str">
        <f xml:space="preserve"> A$167 &amp; " - " &amp; E202</f>
        <v>NEW MODEL INPUTS - WRFIM - Tax allowance switch - WN</v>
      </c>
      <c r="F264" s="155">
        <f t="shared" ref="F264:S264" si="64">F202</f>
        <v>0</v>
      </c>
      <c r="G264" s="155" t="str">
        <f t="shared" si="64"/>
        <v>0 = Allowed, 1 = Not allowed</v>
      </c>
      <c r="H264" s="155">
        <f t="shared" si="64"/>
        <v>0</v>
      </c>
      <c r="I264" s="155">
        <f t="shared" si="64"/>
        <v>0</v>
      </c>
      <c r="J264" s="271" t="str">
        <f t="shared" si="64"/>
        <v>na</v>
      </c>
      <c r="K264" s="271" t="str">
        <f t="shared" si="64"/>
        <v>na</v>
      </c>
      <c r="L264" s="271">
        <f t="shared" si="64"/>
        <v>1</v>
      </c>
      <c r="M264" s="271">
        <f t="shared" si="64"/>
        <v>1</v>
      </c>
      <c r="N264" s="271">
        <f t="shared" si="64"/>
        <v>1</v>
      </c>
      <c r="O264" s="271">
        <f t="shared" si="64"/>
        <v>1</v>
      </c>
      <c r="P264" s="271">
        <f t="shared" si="64"/>
        <v>1</v>
      </c>
      <c r="Q264" s="271">
        <f t="shared" si="64"/>
        <v>0</v>
      </c>
      <c r="R264" s="271">
        <f t="shared" si="64"/>
        <v>0</v>
      </c>
      <c r="S264" s="271">
        <f t="shared" si="64"/>
        <v>0</v>
      </c>
    </row>
    <row r="265" spans="5:19">
      <c r="E265" s="8" t="str">
        <f xml:space="preserve"> A$167 &amp; " - " &amp; E203</f>
        <v>NEW MODEL INPUTS - WRFIM - Tax allowance switch - WWN</v>
      </c>
      <c r="F265" s="155">
        <f t="shared" ref="F265:S265" si="65">F203</f>
        <v>0</v>
      </c>
      <c r="G265" s="155" t="str">
        <f t="shared" si="65"/>
        <v>0 = Allowed, 1 = Not allowed</v>
      </c>
      <c r="H265" s="155">
        <f t="shared" si="65"/>
        <v>0</v>
      </c>
      <c r="I265" s="155">
        <f t="shared" si="65"/>
        <v>0</v>
      </c>
      <c r="J265" s="271" t="str">
        <f t="shared" si="65"/>
        <v>na</v>
      </c>
      <c r="K265" s="271" t="str">
        <f t="shared" si="65"/>
        <v>na</v>
      </c>
      <c r="L265" s="271">
        <f t="shared" si="65"/>
        <v>1</v>
      </c>
      <c r="M265" s="271">
        <f t="shared" si="65"/>
        <v>1</v>
      </c>
      <c r="N265" s="271">
        <f t="shared" si="65"/>
        <v>1</v>
      </c>
      <c r="O265" s="271">
        <f t="shared" si="65"/>
        <v>1</v>
      </c>
      <c r="P265" s="271">
        <f t="shared" si="65"/>
        <v>1</v>
      </c>
      <c r="Q265" s="271">
        <f t="shared" si="65"/>
        <v>0</v>
      </c>
      <c r="R265" s="271">
        <f t="shared" si="65"/>
        <v>0</v>
      </c>
      <c r="S265" s="271">
        <f t="shared" si="65"/>
        <v>0</v>
      </c>
    </row>
    <row r="266" spans="5:19">
      <c r="E266" s="8" t="str">
        <f xml:space="preserve"> A$167 &amp; " - " &amp; E204</f>
        <v>NEW MODEL INPUTS - WRFIM - Tax allowance switch - BR</v>
      </c>
      <c r="F266" s="155">
        <f t="shared" ref="F266:S266" si="66">F204</f>
        <v>0</v>
      </c>
      <c r="G266" s="155" t="str">
        <f t="shared" si="66"/>
        <v>0 = Allowed, 1 = Not allowed</v>
      </c>
      <c r="H266" s="155">
        <f t="shared" si="66"/>
        <v>0</v>
      </c>
      <c r="I266" s="155">
        <f t="shared" si="66"/>
        <v>0</v>
      </c>
      <c r="J266" s="271" t="str">
        <f t="shared" si="66"/>
        <v>na</v>
      </c>
      <c r="K266" s="271" t="str">
        <f t="shared" si="66"/>
        <v>na</v>
      </c>
      <c r="L266" s="271">
        <f t="shared" si="66"/>
        <v>1</v>
      </c>
      <c r="M266" s="271">
        <f t="shared" si="66"/>
        <v>1</v>
      </c>
      <c r="N266" s="271">
        <f t="shared" si="66"/>
        <v>1</v>
      </c>
      <c r="O266" s="271">
        <f t="shared" si="66"/>
        <v>1</v>
      </c>
      <c r="P266" s="271">
        <f t="shared" si="66"/>
        <v>1</v>
      </c>
      <c r="Q266" s="271">
        <f t="shared" si="66"/>
        <v>0</v>
      </c>
      <c r="R266" s="271">
        <f t="shared" si="66"/>
        <v>0</v>
      </c>
      <c r="S266" s="271">
        <f t="shared" si="66"/>
        <v>0</v>
      </c>
    </row>
    <row r="267" spans="5:19">
      <c r="E267" s="8" t="str">
        <f xml:space="preserve"> A$167 &amp; " - " &amp; E205</f>
        <v>NEW MODEL INPUTS - WRFIM - Tax allowance switch - DMMY</v>
      </c>
      <c r="F267" s="155">
        <f t="shared" ref="F267:S267" si="67">F205</f>
        <v>0</v>
      </c>
      <c r="G267" s="155" t="str">
        <f t="shared" si="67"/>
        <v>0 = Allowed, 1 = Not allowed</v>
      </c>
      <c r="H267" s="155">
        <f>H205</f>
        <v>0</v>
      </c>
      <c r="I267" s="155">
        <f t="shared" si="67"/>
        <v>0</v>
      </c>
      <c r="J267" s="271" t="str">
        <f t="shared" si="67"/>
        <v>na</v>
      </c>
      <c r="K267" s="271" t="str">
        <f t="shared" si="67"/>
        <v>na</v>
      </c>
      <c r="L267" s="271">
        <f t="shared" si="67"/>
        <v>0</v>
      </c>
      <c r="M267" s="271">
        <f t="shared" si="67"/>
        <v>0</v>
      </c>
      <c r="N267" s="271">
        <f t="shared" si="67"/>
        <v>0</v>
      </c>
      <c r="O267" s="271">
        <f t="shared" si="67"/>
        <v>0</v>
      </c>
      <c r="P267" s="271">
        <f t="shared" si="67"/>
        <v>0</v>
      </c>
      <c r="Q267" s="271">
        <f t="shared" si="67"/>
        <v>0</v>
      </c>
      <c r="R267" s="271">
        <f t="shared" si="67"/>
        <v>0</v>
      </c>
      <c r="S267" s="271">
        <f t="shared" si="67"/>
        <v>0</v>
      </c>
    </row>
    <row r="268" spans="5:19">
      <c r="F268" s="155"/>
      <c r="G268" s="155"/>
      <c r="H268" s="155"/>
      <c r="I268" s="155"/>
      <c r="J268" s="271"/>
      <c r="K268" s="271"/>
      <c r="L268" s="271"/>
      <c r="M268" s="271"/>
      <c r="N268" s="271"/>
      <c r="O268" s="271"/>
      <c r="P268" s="271"/>
      <c r="Q268" s="271"/>
      <c r="R268" s="271"/>
      <c r="S268" s="271"/>
    </row>
    <row r="269" spans="5:19">
      <c r="E269" s="8" t="str">
        <f xml:space="preserve"> A$167 &amp; " - " &amp; E207</f>
        <v>NEW MODEL INPUTS - Totex - Tax allowance 5 year alert - WR</v>
      </c>
      <c r="F269" s="155">
        <f t="shared" ref="F269:G273" si="68">F207</f>
        <v>0</v>
      </c>
      <c r="G269" s="155" t="str">
        <f t="shared" si="68"/>
        <v>alert</v>
      </c>
      <c r="H269" s="155"/>
      <c r="I269" s="155"/>
      <c r="J269" s="271"/>
      <c r="K269" s="271"/>
      <c r="L269" s="271"/>
      <c r="M269" s="271"/>
      <c r="N269" s="271"/>
      <c r="O269" s="271"/>
      <c r="P269" s="271"/>
      <c r="Q269" s="271"/>
      <c r="R269" s="271"/>
      <c r="S269" s="271"/>
    </row>
    <row r="270" spans="5:19">
      <c r="E270" s="8" t="str">
        <f xml:space="preserve"> A$167 &amp; " - " &amp; E208</f>
        <v>NEW MODEL INPUTS - Totex - Tax allowance 5 year alert - WN</v>
      </c>
      <c r="F270" s="155">
        <f t="shared" si="68"/>
        <v>0</v>
      </c>
      <c r="G270" s="155" t="str">
        <f t="shared" si="68"/>
        <v>alert</v>
      </c>
      <c r="H270" s="155"/>
      <c r="I270" s="155"/>
      <c r="J270" s="271"/>
      <c r="K270" s="271"/>
      <c r="L270" s="271"/>
      <c r="M270" s="271"/>
      <c r="N270" s="271"/>
      <c r="O270" s="271"/>
      <c r="P270" s="271"/>
      <c r="Q270" s="271"/>
      <c r="R270" s="271"/>
      <c r="S270" s="271"/>
    </row>
    <row r="271" spans="5:19">
      <c r="E271" s="8" t="str">
        <f xml:space="preserve"> A$167 &amp; " - " &amp; E209</f>
        <v>NEW MODEL INPUTS - Totex - Tax allowance 5 year alert - WWN</v>
      </c>
      <c r="F271" s="155">
        <f t="shared" si="68"/>
        <v>0</v>
      </c>
      <c r="G271" s="155" t="str">
        <f t="shared" si="68"/>
        <v>alert</v>
      </c>
      <c r="H271" s="155"/>
      <c r="I271" s="155"/>
      <c r="J271" s="271"/>
      <c r="K271" s="271"/>
      <c r="L271" s="271"/>
      <c r="M271" s="271"/>
      <c r="N271" s="271"/>
      <c r="O271" s="271"/>
      <c r="P271" s="271"/>
      <c r="Q271" s="271"/>
      <c r="R271" s="271"/>
      <c r="S271" s="271"/>
    </row>
    <row r="272" spans="5:19">
      <c r="E272" s="8" t="str">
        <f xml:space="preserve"> A$167 &amp; " - " &amp; E210</f>
        <v>NEW MODEL INPUTS - Totex - Tax allowance 5 year alert - BR</v>
      </c>
      <c r="F272" s="155">
        <f t="shared" si="68"/>
        <v>0</v>
      </c>
      <c r="G272" s="155" t="str">
        <f t="shared" si="68"/>
        <v>alert</v>
      </c>
      <c r="H272" s="155"/>
      <c r="I272" s="155"/>
      <c r="J272" s="271"/>
      <c r="K272" s="271"/>
      <c r="L272" s="271"/>
      <c r="M272" s="271"/>
      <c r="N272" s="271"/>
      <c r="O272" s="271"/>
      <c r="P272" s="271"/>
      <c r="Q272" s="271"/>
      <c r="R272" s="271"/>
      <c r="S272" s="271"/>
    </row>
    <row r="273" spans="5:19">
      <c r="E273" s="8" t="str">
        <f xml:space="preserve"> A$167 &amp; " - " &amp; E211</f>
        <v>NEW MODEL INPUTS - Totex - Tax allowance 5 year alert - DMMY</v>
      </c>
      <c r="F273" s="155">
        <f t="shared" si="68"/>
        <v>0</v>
      </c>
      <c r="G273" s="155" t="str">
        <f t="shared" si="68"/>
        <v>alert</v>
      </c>
      <c r="H273" s="155"/>
      <c r="I273" s="155"/>
      <c r="J273" s="271"/>
      <c r="K273" s="271"/>
      <c r="L273" s="271"/>
      <c r="M273" s="271"/>
      <c r="N273" s="271"/>
      <c r="O273" s="271"/>
      <c r="P273" s="271"/>
      <c r="Q273" s="271"/>
      <c r="R273" s="271"/>
      <c r="S273" s="271"/>
    </row>
    <row r="274" spans="5:19">
      <c r="F274" s="155"/>
      <c r="G274" s="155"/>
      <c r="H274" s="155"/>
    </row>
    <row r="275" spans="5:19">
      <c r="E275" s="8" t="str">
        <f xml:space="preserve"> A$167 &amp; " - " &amp; E213</f>
        <v>NEW MODEL INPUTS - WRFIM - Tax allowance 5 year alert - WR</v>
      </c>
      <c r="F275" s="155">
        <f t="shared" ref="F275:G279" si="69">F213</f>
        <v>0</v>
      </c>
      <c r="G275" s="155" t="str">
        <f t="shared" si="69"/>
        <v>alert</v>
      </c>
      <c r="H275" s="155"/>
    </row>
    <row r="276" spans="5:19">
      <c r="E276" s="8" t="str">
        <f xml:space="preserve"> A$167 &amp; " - " &amp; E214</f>
        <v>NEW MODEL INPUTS - WRFIM - Tax allowance 5 year alert - WN</v>
      </c>
      <c r="F276" s="155">
        <f t="shared" si="69"/>
        <v>0</v>
      </c>
      <c r="G276" s="155" t="str">
        <f t="shared" si="69"/>
        <v>alert</v>
      </c>
      <c r="H276" s="155"/>
    </row>
    <row r="277" spans="5:19">
      <c r="E277" s="8" t="str">
        <f xml:space="preserve"> A$167 &amp; " - " &amp; E215</f>
        <v>NEW MODEL INPUTS - WRFIM - Tax allowance 5 year alert - WWN</v>
      </c>
      <c r="F277" s="155">
        <f t="shared" si="69"/>
        <v>0</v>
      </c>
      <c r="G277" s="155" t="str">
        <f t="shared" si="69"/>
        <v>alert</v>
      </c>
      <c r="H277" s="155"/>
    </row>
    <row r="278" spans="5:19">
      <c r="E278" s="8" t="str">
        <f xml:space="preserve"> A$167 &amp; " - " &amp; E216</f>
        <v>NEW MODEL INPUTS - WRFIM - Tax allowance 5 year alert - BR</v>
      </c>
      <c r="F278" s="155">
        <f t="shared" si="69"/>
        <v>0</v>
      </c>
      <c r="G278" s="155" t="str">
        <f t="shared" si="69"/>
        <v>alert</v>
      </c>
      <c r="H278" s="155"/>
    </row>
    <row r="279" spans="5:19">
      <c r="E279" s="8" t="str">
        <f xml:space="preserve"> A$167 &amp; " - " &amp; E217</f>
        <v>NEW MODEL INPUTS - WRFIM - Tax allowance 5 year alert - DMMY</v>
      </c>
      <c r="F279" s="155">
        <f t="shared" si="69"/>
        <v>0</v>
      </c>
      <c r="G279" s="155" t="str">
        <f t="shared" si="69"/>
        <v>alert</v>
      </c>
      <c r="H279" s="155"/>
    </row>
    <row r="280" spans="5:19">
      <c r="F280" s="155"/>
      <c r="G280" s="155"/>
    </row>
    <row r="281" spans="5:19">
      <c r="E281" s="8" t="str">
        <f xml:space="preserve"> A$167 &amp; " - " &amp; E219</f>
        <v>NEW MODEL INPUTS - Water resources - Totex (+ or -) Value Chosen - active - adjusted - real</v>
      </c>
      <c r="F281" s="155">
        <f t="shared" ref="F281:G285" si="70">F219</f>
        <v>0</v>
      </c>
      <c r="G281" s="155" t="str">
        <f t="shared" si="70"/>
        <v>£m</v>
      </c>
      <c r="H281" s="155">
        <f t="shared" ref="H281:S281" si="71">H219</f>
        <v>0</v>
      </c>
      <c r="I281" s="155">
        <f t="shared" si="71"/>
        <v>0</v>
      </c>
      <c r="J281" s="155">
        <f t="shared" si="71"/>
        <v>0</v>
      </c>
      <c r="K281" s="155">
        <f t="shared" si="71"/>
        <v>0</v>
      </c>
      <c r="L281" s="155">
        <f t="shared" si="71"/>
        <v>0</v>
      </c>
      <c r="M281" s="155">
        <f t="shared" si="71"/>
        <v>0</v>
      </c>
      <c r="N281" s="155">
        <f t="shared" si="71"/>
        <v>0</v>
      </c>
      <c r="O281" s="155">
        <f t="shared" si="71"/>
        <v>0</v>
      </c>
      <c r="P281" s="155">
        <f t="shared" si="71"/>
        <v>0</v>
      </c>
      <c r="Q281" s="155">
        <f t="shared" si="71"/>
        <v>0</v>
      </c>
      <c r="R281" s="155">
        <f t="shared" si="71"/>
        <v>0</v>
      </c>
      <c r="S281" s="155">
        <f t="shared" si="71"/>
        <v>0</v>
      </c>
    </row>
    <row r="282" spans="5:19">
      <c r="E282" s="8" t="str">
        <f xml:space="preserve"> A$167 &amp; " - " &amp; E220</f>
        <v>NEW MODEL INPUTS - Water network - Totex (+ or -) Value Chosen - active - adjusted - real</v>
      </c>
      <c r="F282" s="155">
        <f t="shared" si="70"/>
        <v>0</v>
      </c>
      <c r="G282" s="155" t="str">
        <f t="shared" si="70"/>
        <v>£m</v>
      </c>
      <c r="H282" s="155">
        <f t="shared" ref="H282:S282" si="72">H220</f>
        <v>41.277745924724961</v>
      </c>
      <c r="I282" s="155">
        <f t="shared" si="72"/>
        <v>0</v>
      </c>
      <c r="J282" s="155">
        <f t="shared" si="72"/>
        <v>0</v>
      </c>
      <c r="K282" s="155">
        <f t="shared" si="72"/>
        <v>0</v>
      </c>
      <c r="L282" s="155">
        <f t="shared" si="72"/>
        <v>8.5076270226532351</v>
      </c>
      <c r="M282" s="155">
        <f t="shared" si="72"/>
        <v>8.5076270226532351</v>
      </c>
      <c r="N282" s="155">
        <f t="shared" si="72"/>
        <v>8.5076270226532351</v>
      </c>
      <c r="O282" s="155">
        <f t="shared" si="72"/>
        <v>7.877432428382626</v>
      </c>
      <c r="P282" s="155">
        <f t="shared" si="72"/>
        <v>7.877432428382626</v>
      </c>
      <c r="Q282" s="155">
        <f t="shared" si="72"/>
        <v>0</v>
      </c>
      <c r="R282" s="155">
        <f t="shared" si="72"/>
        <v>0</v>
      </c>
      <c r="S282" s="155">
        <f t="shared" si="72"/>
        <v>0</v>
      </c>
    </row>
    <row r="283" spans="5:19">
      <c r="E283" s="8" t="str">
        <f xml:space="preserve"> A$167 &amp; " - " &amp; E221</f>
        <v>NEW MODEL INPUTS - Wastewater network - Totex (+ or -) Value Chosen - active - adjusted - real</v>
      </c>
      <c r="F283" s="155">
        <f t="shared" si="70"/>
        <v>0</v>
      </c>
      <c r="G283" s="155" t="str">
        <f t="shared" si="70"/>
        <v>£m</v>
      </c>
      <c r="H283" s="155">
        <f t="shared" ref="H283:S283" si="73">H221</f>
        <v>9.3067779344567185</v>
      </c>
      <c r="I283" s="155">
        <f t="shared" si="73"/>
        <v>0</v>
      </c>
      <c r="J283" s="155">
        <f t="shared" si="73"/>
        <v>0</v>
      </c>
      <c r="K283" s="155">
        <f t="shared" si="73"/>
        <v>0</v>
      </c>
      <c r="L283" s="155">
        <f t="shared" si="73"/>
        <v>1.9181908719872625</v>
      </c>
      <c r="M283" s="155">
        <f t="shared" si="73"/>
        <v>1.9181908719872625</v>
      </c>
      <c r="N283" s="155">
        <f t="shared" si="73"/>
        <v>1.9181908719872625</v>
      </c>
      <c r="O283" s="155">
        <f t="shared" si="73"/>
        <v>1.7761026592474651</v>
      </c>
      <c r="P283" s="155">
        <f t="shared" si="73"/>
        <v>1.7761026592474651</v>
      </c>
      <c r="Q283" s="155">
        <f t="shared" si="73"/>
        <v>0</v>
      </c>
      <c r="R283" s="155">
        <f t="shared" si="73"/>
        <v>0</v>
      </c>
      <c r="S283" s="155">
        <f t="shared" si="73"/>
        <v>0</v>
      </c>
    </row>
    <row r="284" spans="5:19">
      <c r="E284" s="8" t="str">
        <f xml:space="preserve"> A$167 &amp; " - " &amp; E222</f>
        <v>NEW MODEL INPUTS - Bio resources - Totex (+ or -) Value Chosen - active - adjusted - real</v>
      </c>
      <c r="F284" s="155">
        <f t="shared" si="70"/>
        <v>0</v>
      </c>
      <c r="G284" s="155" t="str">
        <f t="shared" si="70"/>
        <v>£m</v>
      </c>
      <c r="H284" s="155">
        <f t="shared" ref="H284:S284" si="74">H222</f>
        <v>0</v>
      </c>
      <c r="I284" s="155">
        <f t="shared" si="74"/>
        <v>0</v>
      </c>
      <c r="J284" s="155">
        <f t="shared" si="74"/>
        <v>0</v>
      </c>
      <c r="K284" s="155">
        <f t="shared" si="74"/>
        <v>0</v>
      </c>
      <c r="L284" s="155">
        <f t="shared" si="74"/>
        <v>0</v>
      </c>
      <c r="M284" s="155">
        <f t="shared" si="74"/>
        <v>0</v>
      </c>
      <c r="N284" s="155">
        <f t="shared" si="74"/>
        <v>0</v>
      </c>
      <c r="O284" s="155">
        <f t="shared" si="74"/>
        <v>0</v>
      </c>
      <c r="P284" s="155">
        <f t="shared" si="74"/>
        <v>0</v>
      </c>
      <c r="Q284" s="155">
        <f t="shared" si="74"/>
        <v>0</v>
      </c>
      <c r="R284" s="155">
        <f t="shared" si="74"/>
        <v>0</v>
      </c>
      <c r="S284" s="155">
        <f t="shared" si="74"/>
        <v>0</v>
      </c>
    </row>
    <row r="285" spans="5:19">
      <c r="E285" s="8" t="str">
        <f xml:space="preserve"> A$167 &amp; " - " &amp; E223</f>
        <v>NEW MODEL INPUTS - Dummy control - Totex (+ or -) Value Chosen - active - adjusted - real</v>
      </c>
      <c r="F285" s="155">
        <f t="shared" si="70"/>
        <v>0</v>
      </c>
      <c r="G285" s="155" t="str">
        <f t="shared" si="70"/>
        <v>£m</v>
      </c>
      <c r="H285" s="155">
        <f t="shared" ref="H285:S285" si="75">H223</f>
        <v>0</v>
      </c>
      <c r="I285" s="155">
        <f t="shared" si="75"/>
        <v>0</v>
      </c>
      <c r="J285" s="155">
        <f t="shared" si="75"/>
        <v>0</v>
      </c>
      <c r="K285" s="155">
        <f t="shared" si="75"/>
        <v>0</v>
      </c>
      <c r="L285" s="155">
        <f t="shared" si="75"/>
        <v>0</v>
      </c>
      <c r="M285" s="155">
        <f t="shared" si="75"/>
        <v>0</v>
      </c>
      <c r="N285" s="155">
        <f t="shared" si="75"/>
        <v>0</v>
      </c>
      <c r="O285" s="155">
        <f t="shared" si="75"/>
        <v>0</v>
      </c>
      <c r="P285" s="155">
        <f t="shared" si="75"/>
        <v>0</v>
      </c>
      <c r="Q285" s="155">
        <f t="shared" si="75"/>
        <v>0</v>
      </c>
      <c r="R285" s="155">
        <f t="shared" si="75"/>
        <v>0</v>
      </c>
      <c r="S285" s="155">
        <f t="shared" si="75"/>
        <v>0</v>
      </c>
    </row>
    <row r="286" spans="5:19"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</row>
    <row r="287" spans="5:19">
      <c r="E287" s="8" t="str">
        <f xml:space="preserve"> A$167 &amp; " - " &amp; E225</f>
        <v>NEW MODEL INPUTS - Water resources - WRFIM (+ or -) Value Chosen - active - adjusted - real</v>
      </c>
      <c r="F287" s="155">
        <f t="shared" ref="F287:G291" si="76">F225</f>
        <v>0</v>
      </c>
      <c r="G287" s="155" t="str">
        <f t="shared" si="76"/>
        <v>£m</v>
      </c>
      <c r="H287" s="155">
        <f t="shared" ref="H287:S287" si="77">H225</f>
        <v>0</v>
      </c>
      <c r="I287" s="155">
        <f t="shared" si="77"/>
        <v>0</v>
      </c>
      <c r="J287" s="155">
        <f t="shared" si="77"/>
        <v>0</v>
      </c>
      <c r="K287" s="155">
        <f t="shared" si="77"/>
        <v>0</v>
      </c>
      <c r="L287" s="155">
        <f t="shared" si="77"/>
        <v>0</v>
      </c>
      <c r="M287" s="155">
        <f t="shared" si="77"/>
        <v>0</v>
      </c>
      <c r="N287" s="155">
        <f t="shared" si="77"/>
        <v>0</v>
      </c>
      <c r="O287" s="155">
        <f t="shared" si="77"/>
        <v>0</v>
      </c>
      <c r="P287" s="155">
        <f t="shared" si="77"/>
        <v>0</v>
      </c>
      <c r="Q287" s="155">
        <f t="shared" si="77"/>
        <v>0</v>
      </c>
      <c r="R287" s="155">
        <f t="shared" si="77"/>
        <v>0</v>
      </c>
      <c r="S287" s="155">
        <f t="shared" si="77"/>
        <v>0</v>
      </c>
    </row>
    <row r="288" spans="5:19">
      <c r="E288" s="8" t="str">
        <f xml:space="preserve"> A$167 &amp; " - " &amp; E226</f>
        <v>NEW MODEL INPUTS - Water network - WRFIM (+ or -) Value Chosen - active - adjusted - real</v>
      </c>
      <c r="F288" s="155">
        <f t="shared" si="76"/>
        <v>0</v>
      </c>
      <c r="G288" s="155" t="str">
        <f t="shared" si="76"/>
        <v>£m</v>
      </c>
      <c r="H288" s="155">
        <f t="shared" ref="H288:S288" si="78">H226</f>
        <v>-5.003645148970354</v>
      </c>
      <c r="I288" s="155">
        <f t="shared" si="78"/>
        <v>0</v>
      </c>
      <c r="J288" s="155">
        <f t="shared" si="78"/>
        <v>0</v>
      </c>
      <c r="K288" s="155">
        <f t="shared" si="78"/>
        <v>0</v>
      </c>
      <c r="L288" s="155">
        <f t="shared" si="78"/>
        <v>-1.0312856413908364</v>
      </c>
      <c r="M288" s="155">
        <f t="shared" si="78"/>
        <v>-1.0312856413908364</v>
      </c>
      <c r="N288" s="155">
        <f t="shared" si="78"/>
        <v>-1.0312856413908364</v>
      </c>
      <c r="O288" s="155">
        <f t="shared" si="78"/>
        <v>-0.95489411239892252</v>
      </c>
      <c r="P288" s="155">
        <f t="shared" si="78"/>
        <v>-0.95489411239892252</v>
      </c>
      <c r="Q288" s="155">
        <f t="shared" si="78"/>
        <v>0</v>
      </c>
      <c r="R288" s="155">
        <f t="shared" si="78"/>
        <v>0</v>
      </c>
      <c r="S288" s="155">
        <f t="shared" si="78"/>
        <v>0</v>
      </c>
    </row>
    <row r="289" spans="1:19">
      <c r="E289" s="8" t="str">
        <f xml:space="preserve"> A$167 &amp; " - " &amp; E227</f>
        <v>NEW MODEL INPUTS - Wastewater network - WRFIM (+ or -) Value Chosen - active - adjusted - real</v>
      </c>
      <c r="F289" s="155">
        <f t="shared" si="76"/>
        <v>0</v>
      </c>
      <c r="G289" s="155" t="str">
        <f t="shared" si="76"/>
        <v>£m</v>
      </c>
      <c r="H289" s="155">
        <f t="shared" ref="H289:S289" si="79">H227</f>
        <v>6.4860325569844708</v>
      </c>
      <c r="I289" s="155">
        <f t="shared" si="79"/>
        <v>0</v>
      </c>
      <c r="J289" s="155">
        <f t="shared" si="79"/>
        <v>0</v>
      </c>
      <c r="K289" s="155">
        <f t="shared" si="79"/>
        <v>0</v>
      </c>
      <c r="L289" s="155">
        <f t="shared" si="79"/>
        <v>1.3368158705235169</v>
      </c>
      <c r="M289" s="155">
        <f t="shared" si="79"/>
        <v>1.3368158705235169</v>
      </c>
      <c r="N289" s="155">
        <f t="shared" si="79"/>
        <v>1.3368158705235169</v>
      </c>
      <c r="O289" s="155">
        <f t="shared" si="79"/>
        <v>1.23779247270696</v>
      </c>
      <c r="P289" s="155">
        <f t="shared" si="79"/>
        <v>1.23779247270696</v>
      </c>
      <c r="Q289" s="155">
        <f t="shared" si="79"/>
        <v>0</v>
      </c>
      <c r="R289" s="155">
        <f t="shared" si="79"/>
        <v>0</v>
      </c>
      <c r="S289" s="155">
        <f t="shared" si="79"/>
        <v>0</v>
      </c>
    </row>
    <row r="290" spans="1:19">
      <c r="E290" s="8" t="str">
        <f xml:space="preserve"> A$167 &amp; " - " &amp; E228</f>
        <v>NEW MODEL INPUTS - Bio resources - WRFIM (+ or -) Value Chosen - active - adjusted - real</v>
      </c>
      <c r="F290" s="155">
        <f t="shared" si="76"/>
        <v>0</v>
      </c>
      <c r="G290" s="155" t="str">
        <f t="shared" si="76"/>
        <v>£m</v>
      </c>
      <c r="H290" s="155">
        <f t="shared" ref="H290:S290" si="80">H228</f>
        <v>0</v>
      </c>
      <c r="I290" s="155">
        <f t="shared" si="80"/>
        <v>0</v>
      </c>
      <c r="J290" s="155">
        <f t="shared" si="80"/>
        <v>0</v>
      </c>
      <c r="K290" s="155">
        <f t="shared" si="80"/>
        <v>0</v>
      </c>
      <c r="L290" s="155">
        <f t="shared" si="80"/>
        <v>0</v>
      </c>
      <c r="M290" s="155">
        <f t="shared" si="80"/>
        <v>0</v>
      </c>
      <c r="N290" s="155">
        <f t="shared" si="80"/>
        <v>0</v>
      </c>
      <c r="O290" s="155">
        <f t="shared" si="80"/>
        <v>0</v>
      </c>
      <c r="P290" s="155">
        <f t="shared" si="80"/>
        <v>0</v>
      </c>
      <c r="Q290" s="155">
        <f t="shared" si="80"/>
        <v>0</v>
      </c>
      <c r="R290" s="155">
        <f t="shared" si="80"/>
        <v>0</v>
      </c>
      <c r="S290" s="155">
        <f t="shared" si="80"/>
        <v>0</v>
      </c>
    </row>
    <row r="291" spans="1:19">
      <c r="E291" s="8" t="str">
        <f xml:space="preserve"> A$167 &amp; " - " &amp; E229</f>
        <v>NEW MODEL INPUTS - Dummy control - WRFIM (+ or -) Value Chosen - active - adjusted - real</v>
      </c>
      <c r="F291" s="155">
        <f t="shared" si="76"/>
        <v>0</v>
      </c>
      <c r="G291" s="155" t="str">
        <f t="shared" si="76"/>
        <v>£m</v>
      </c>
      <c r="H291" s="155">
        <f t="shared" ref="H291:S291" si="81">H229</f>
        <v>0</v>
      </c>
      <c r="I291" s="155">
        <f t="shared" si="81"/>
        <v>0</v>
      </c>
      <c r="J291" s="155">
        <f t="shared" si="81"/>
        <v>0</v>
      </c>
      <c r="K291" s="155">
        <f t="shared" si="81"/>
        <v>0</v>
      </c>
      <c r="L291" s="155">
        <f t="shared" si="81"/>
        <v>0</v>
      </c>
      <c r="M291" s="155">
        <f t="shared" si="81"/>
        <v>0</v>
      </c>
      <c r="N291" s="155">
        <f t="shared" si="81"/>
        <v>0</v>
      </c>
      <c r="O291" s="155">
        <f t="shared" si="81"/>
        <v>0</v>
      </c>
      <c r="P291" s="155">
        <f t="shared" si="81"/>
        <v>0</v>
      </c>
      <c r="Q291" s="155">
        <f t="shared" si="81"/>
        <v>0</v>
      </c>
      <c r="R291" s="155">
        <f t="shared" si="81"/>
        <v>0</v>
      </c>
      <c r="S291" s="155">
        <f t="shared" si="81"/>
        <v>0</v>
      </c>
    </row>
    <row r="292" spans="1:19">
      <c r="F292" s="155"/>
      <c r="G292" s="155"/>
    </row>
    <row r="293" spans="1:19" s="17" customFormat="1">
      <c r="A293" s="20" t="s">
        <v>51</v>
      </c>
      <c r="B293" s="19"/>
      <c r="C293" s="297"/>
      <c r="D293" s="18"/>
    </row>
    <row r="463"/>
    <row r="483" spans="5:7" hidden="1">
      <c r="E483" s="272" t="s">
        <v>276</v>
      </c>
      <c r="F483" s="272">
        <v>0</v>
      </c>
      <c r="G483" s="272" t="s">
        <v>331</v>
      </c>
    </row>
    <row r="484" spans="5:7" hidden="1">
      <c r="E484" s="272" t="s">
        <v>277</v>
      </c>
      <c r="F484" s="272">
        <v>0</v>
      </c>
      <c r="G484" s="272" t="s">
        <v>331</v>
      </c>
    </row>
    <row r="485" spans="5:7" hidden="1">
      <c r="E485" s="272" t="s">
        <v>278</v>
      </c>
      <c r="F485" s="272">
        <v>0</v>
      </c>
      <c r="G485" s="272" t="s">
        <v>331</v>
      </c>
    </row>
    <row r="486" spans="5:7" hidden="1">
      <c r="E486" s="272" t="s">
        <v>279</v>
      </c>
      <c r="F486" s="272">
        <v>0</v>
      </c>
      <c r="G486" s="272" t="s">
        <v>331</v>
      </c>
    </row>
    <row r="487" spans="5:7" hidden="1">
      <c r="E487" s="272" t="s">
        <v>280</v>
      </c>
      <c r="F487" s="272">
        <v>0</v>
      </c>
      <c r="G487" s="272" t="s">
        <v>331</v>
      </c>
    </row>
  </sheetData>
  <conditionalFormatting sqref="F2">
    <cfRule type="cellIs" dxfId="42" priority="10" stopIfTrue="1" operator="notEqual">
      <formula>0</formula>
    </cfRule>
    <cfRule type="cellIs" dxfId="41" priority="11" stopIfTrue="1" operator="equal">
      <formula>""</formula>
    </cfRule>
  </conditionalFormatting>
  <conditionalFormatting sqref="J4:R4 T4:CA4">
    <cfRule type="cellIs" dxfId="40" priority="12" operator="equal">
      <formula>"Post-Fcst"</formula>
    </cfRule>
    <cfRule type="cellIs" dxfId="39" priority="13" operator="equal">
      <formula>"Forecast"</formula>
    </cfRule>
    <cfRule type="cellIs" dxfId="38" priority="14" operator="equal">
      <formula>"Pre Fcst"</formula>
    </cfRule>
  </conditionalFormatting>
  <conditionalFormatting sqref="S4">
    <cfRule type="cellIs" dxfId="37" priority="1" operator="equal">
      <formula>"Post-Fcst"</formula>
    </cfRule>
    <cfRule type="cellIs" dxfId="36" priority="2" operator="equal">
      <formula>"Forecast"</formula>
    </cfRule>
    <cfRule type="cellIs" dxfId="35" priority="3" operator="equal">
      <formula>"Pre Fcst"</formula>
    </cfRule>
  </conditionalFormatting>
  <printOptions headings="1"/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  <headerFooter alignWithMargins="0">
    <oddHeader xml:space="preserve">&amp;LPage &amp;P of &amp;N&amp;CSheet: &amp;A&amp;R </oddHeader>
    <oddFooter>&amp;L&amp;F (Printed on &amp;D at &amp;T) 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</sheetPr>
  <dimension ref="A1:DB89"/>
  <sheetViews>
    <sheetView zoomScaleNormal="100" workbookViewId="0">
      <pane xSplit="9" ySplit="5" topLeftCell="J60" activePane="bottomRight" state="frozen"/>
      <selection pane="topRight" sqref="A1:XFD1"/>
      <selection pane="bottomLeft" sqref="A1:XFD1"/>
      <selection pane="bottomRight"/>
    </sheetView>
  </sheetViews>
  <sheetFormatPr defaultColWidth="0" defaultRowHeight="13.2"/>
  <cols>
    <col min="1" max="1" width="1.21875" style="55" customWidth="1"/>
    <col min="2" max="2" width="1.21875" style="64" customWidth="1"/>
    <col min="3" max="3" width="1.21875" style="110" customWidth="1"/>
    <col min="4" max="4" width="1.21875" style="59" customWidth="1"/>
    <col min="5" max="5" width="40.77734375" style="95" customWidth="1"/>
    <col min="6" max="6" width="12.77734375" style="8" customWidth="1"/>
    <col min="7" max="8" width="11.77734375" style="8" customWidth="1"/>
    <col min="9" max="9" width="2.77734375" style="8" customWidth="1"/>
    <col min="10" max="19" width="11.77734375" style="8" customWidth="1"/>
    <col min="20" max="79" width="11.77734375" style="8" hidden="1" customWidth="1"/>
    <col min="80" max="106" width="0" style="8" hidden="1" customWidth="1"/>
    <col min="107" max="16384" width="9.21875" style="8" hidden="1"/>
  </cols>
  <sheetData>
    <row r="1" spans="1:79" s="121" customFormat="1" ht="25.2">
      <c r="A1" s="117" t="str">
        <f ca="1" xml:space="preserve"> RIGHT(CELL("filename", $A$1), LEN(CELL("filename", $A$1)) - SEARCH("]", CELL("filename", $A$1)))</f>
        <v>Time</v>
      </c>
      <c r="C1" s="132"/>
      <c r="E1" s="131"/>
    </row>
    <row r="2" spans="1:79" s="31" customFormat="1">
      <c r="A2" s="65"/>
      <c r="B2" s="61"/>
      <c r="C2" s="107"/>
      <c r="D2" s="56"/>
      <c r="E2" s="51" t="str">
        <f>Time!E$22</f>
        <v>Model Period END</v>
      </c>
      <c r="F2" s="32">
        <f xml:space="preserve"> Checks!$F$9</f>
        <v>0</v>
      </c>
      <c r="G2" s="27" t="s">
        <v>98</v>
      </c>
      <c r="H2" s="27"/>
      <c r="I2" s="27"/>
      <c r="J2" s="27">
        <f>Time!J$22</f>
        <v>43555</v>
      </c>
      <c r="K2" s="27">
        <f>Time!K$22</f>
        <v>43921</v>
      </c>
      <c r="L2" s="27">
        <f>Time!L$22</f>
        <v>44286</v>
      </c>
      <c r="M2" s="27">
        <f>Time!M$22</f>
        <v>44651</v>
      </c>
      <c r="N2" s="27">
        <f>Time!N$22</f>
        <v>45016</v>
      </c>
      <c r="O2" s="27">
        <f>Time!O$22</f>
        <v>45382</v>
      </c>
      <c r="P2" s="27">
        <f>Time!P$22</f>
        <v>45747</v>
      </c>
      <c r="Q2" s="27">
        <f>Time!Q$22</f>
        <v>46112</v>
      </c>
      <c r="R2" s="27">
        <f>Time!R$22</f>
        <v>46477</v>
      </c>
      <c r="S2" s="27">
        <f>Time!S$22</f>
        <v>46843</v>
      </c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</row>
    <row r="3" spans="1:79" s="5" customFormat="1">
      <c r="A3" s="53"/>
      <c r="B3" s="62"/>
      <c r="C3" s="108"/>
      <c r="D3" s="57"/>
      <c r="E3" s="51" t="str">
        <f>Time!E$58</f>
        <v>Pre Forecast vs Forecast</v>
      </c>
      <c r="F3" s="27"/>
      <c r="G3" s="27"/>
      <c r="H3" s="27"/>
      <c r="I3" s="27"/>
      <c r="J3" s="27" t="str">
        <f>Time!J$58</f>
        <v>Pre Fcst</v>
      </c>
      <c r="K3" s="27" t="str">
        <f>Time!K$58</f>
        <v>Pre Fcst</v>
      </c>
      <c r="L3" s="27" t="str">
        <f>Time!L$58</f>
        <v>Forecast</v>
      </c>
      <c r="M3" s="27" t="str">
        <f>Time!M$58</f>
        <v>Forecast</v>
      </c>
      <c r="N3" s="27" t="str">
        <f>Time!N$58</f>
        <v>Forecast</v>
      </c>
      <c r="O3" s="27" t="str">
        <f>Time!O$58</f>
        <v>Forecast</v>
      </c>
      <c r="P3" s="27" t="str">
        <f>Time!P$58</f>
        <v>Forecast</v>
      </c>
      <c r="Q3" s="27" t="str">
        <f>Time!Q$58</f>
        <v>Post-Fcst</v>
      </c>
      <c r="R3" s="27" t="str">
        <f>Time!R$58</f>
        <v>Post-Fcst</v>
      </c>
      <c r="S3" s="27" t="str">
        <f>Time!S$58</f>
        <v>Post-Fcst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</row>
    <row r="4" spans="1:79" s="15" customFormat="1">
      <c r="A4" s="55"/>
      <c r="B4" s="67"/>
      <c r="C4" s="123"/>
      <c r="D4" s="59"/>
      <c r="E4" s="94" t="str">
        <f>Time!E$86</f>
        <v>Financial Year Ending</v>
      </c>
      <c r="F4" s="26"/>
      <c r="G4" s="26"/>
      <c r="H4" s="26"/>
      <c r="J4" s="300">
        <f>Time!J$86</f>
        <v>2018</v>
      </c>
      <c r="K4" s="300">
        <f>Time!K$86</f>
        <v>2019</v>
      </c>
      <c r="L4" s="300">
        <f>Time!L$86</f>
        <v>2020</v>
      </c>
      <c r="M4" s="300">
        <f>Time!M$86</f>
        <v>2021</v>
      </c>
      <c r="N4" s="300">
        <f>Time!N$86</f>
        <v>2022</v>
      </c>
      <c r="O4" s="300">
        <f>Time!O$86</f>
        <v>2023</v>
      </c>
      <c r="P4" s="300">
        <f>Time!P$86</f>
        <v>2024</v>
      </c>
      <c r="Q4" s="300">
        <f>Time!Q$86</f>
        <v>2025</v>
      </c>
      <c r="R4" s="300">
        <f>Time!R$86</f>
        <v>2026</v>
      </c>
      <c r="S4" s="300">
        <f>Time!S$86</f>
        <v>2027</v>
      </c>
    </row>
    <row r="5" spans="1:79" s="28" customFormat="1">
      <c r="A5" s="66"/>
      <c r="B5" s="63"/>
      <c r="C5" s="109"/>
      <c r="D5" s="58"/>
      <c r="E5" s="51" t="str">
        <f>Time!E$10</f>
        <v>Model column counter</v>
      </c>
      <c r="F5" s="5" t="s">
        <v>99</v>
      </c>
      <c r="G5" s="5" t="s">
        <v>100</v>
      </c>
      <c r="H5" s="5" t="s">
        <v>101</v>
      </c>
      <c r="I5" s="26"/>
      <c r="J5" s="26">
        <f>Time!J$10</f>
        <v>1</v>
      </c>
      <c r="K5" s="26">
        <f>Time!K$10</f>
        <v>2</v>
      </c>
      <c r="L5" s="26">
        <f>Time!L$10</f>
        <v>3</v>
      </c>
      <c r="M5" s="26">
        <f>Time!M$10</f>
        <v>4</v>
      </c>
      <c r="N5" s="26">
        <f>Time!N$10</f>
        <v>5</v>
      </c>
      <c r="O5" s="26">
        <f>Time!O$10</f>
        <v>6</v>
      </c>
      <c r="P5" s="26">
        <f>Time!P$10</f>
        <v>7</v>
      </c>
      <c r="Q5" s="26">
        <f>Time!Q$10</f>
        <v>8</v>
      </c>
      <c r="R5" s="26">
        <f>Time!R$10</f>
        <v>9</v>
      </c>
      <c r="S5" s="26">
        <f>Time!S$10</f>
        <v>10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</row>
    <row r="7" spans="1:79" s="50" customFormat="1">
      <c r="A7" s="54" t="s">
        <v>136</v>
      </c>
      <c r="B7" s="64"/>
      <c r="C7" s="110"/>
      <c r="D7" s="60"/>
      <c r="E7" s="96"/>
    </row>
    <row r="8" spans="1:79" s="50" customFormat="1">
      <c r="A8" s="54"/>
      <c r="B8" s="64"/>
      <c r="C8" s="110"/>
      <c r="D8" s="60"/>
      <c r="E8" s="96"/>
    </row>
    <row r="9" spans="1:79" s="68" customFormat="1">
      <c r="A9" s="53"/>
      <c r="B9" s="62" t="s">
        <v>137</v>
      </c>
      <c r="C9" s="108"/>
      <c r="D9" s="57"/>
      <c r="E9" s="97"/>
      <c r="G9" s="42"/>
    </row>
    <row r="10" spans="1:79" s="47" customFormat="1">
      <c r="A10" s="69"/>
      <c r="B10" s="70"/>
      <c r="C10" s="124"/>
      <c r="D10" s="71"/>
      <c r="E10" s="95" t="s">
        <v>138</v>
      </c>
      <c r="G10" s="47" t="s">
        <v>139</v>
      </c>
      <c r="I10" s="48"/>
      <c r="J10" s="47">
        <f t="shared" ref="J10:S10" si="0" xml:space="preserve"> I10 + 1</f>
        <v>1</v>
      </c>
      <c r="K10" s="47">
        <f t="shared" si="0"/>
        <v>2</v>
      </c>
      <c r="L10" s="47">
        <f t="shared" si="0"/>
        <v>3</v>
      </c>
      <c r="M10" s="47">
        <f t="shared" si="0"/>
        <v>4</v>
      </c>
      <c r="N10" s="47">
        <f t="shared" si="0"/>
        <v>5</v>
      </c>
      <c r="O10" s="47">
        <f t="shared" si="0"/>
        <v>6</v>
      </c>
      <c r="P10" s="47">
        <f t="shared" si="0"/>
        <v>7</v>
      </c>
      <c r="Q10" s="47">
        <f t="shared" si="0"/>
        <v>8</v>
      </c>
      <c r="R10" s="47">
        <f t="shared" si="0"/>
        <v>9</v>
      </c>
      <c r="S10" s="47">
        <f t="shared" si="0"/>
        <v>10</v>
      </c>
    </row>
    <row r="11" spans="1:79" s="50" customFormat="1">
      <c r="A11" s="54"/>
      <c r="B11" s="64"/>
      <c r="C11" s="110"/>
      <c r="D11" s="60"/>
      <c r="E11" s="96" t="s">
        <v>140</v>
      </c>
      <c r="F11" s="50">
        <f xml:space="preserve"> MAX(J10:CA10)</f>
        <v>10</v>
      </c>
      <c r="G11" s="50" t="s">
        <v>141</v>
      </c>
    </row>
    <row r="12" spans="1:79" s="50" customFormat="1">
      <c r="A12" s="54"/>
      <c r="B12" s="64"/>
      <c r="C12" s="110"/>
      <c r="D12" s="60"/>
      <c r="E12" s="96"/>
    </row>
    <row r="13" spans="1:79" s="46" customFormat="1">
      <c r="A13" s="72"/>
      <c r="B13" s="73"/>
      <c r="C13" s="111"/>
      <c r="D13" s="74"/>
      <c r="E13" s="96" t="str">
        <f t="shared" ref="E13:S13" si="1" xml:space="preserve"> E$10</f>
        <v>Model column counter</v>
      </c>
      <c r="F13" s="46">
        <f t="shared" si="1"/>
        <v>0</v>
      </c>
      <c r="G13" s="46" t="str">
        <f t="shared" si="1"/>
        <v>counter</v>
      </c>
      <c r="H13" s="46">
        <f t="shared" si="1"/>
        <v>0</v>
      </c>
      <c r="I13" s="46">
        <f t="shared" si="1"/>
        <v>0</v>
      </c>
      <c r="J13" s="46">
        <f t="shared" si="1"/>
        <v>1</v>
      </c>
      <c r="K13" s="46">
        <f t="shared" si="1"/>
        <v>2</v>
      </c>
      <c r="L13" s="46">
        <f t="shared" si="1"/>
        <v>3</v>
      </c>
      <c r="M13" s="46">
        <f t="shared" si="1"/>
        <v>4</v>
      </c>
      <c r="N13" s="46">
        <f t="shared" si="1"/>
        <v>5</v>
      </c>
      <c r="O13" s="46">
        <f t="shared" si="1"/>
        <v>6</v>
      </c>
      <c r="P13" s="46">
        <f t="shared" si="1"/>
        <v>7</v>
      </c>
      <c r="Q13" s="46">
        <f t="shared" si="1"/>
        <v>8</v>
      </c>
      <c r="R13" s="46">
        <f t="shared" si="1"/>
        <v>9</v>
      </c>
      <c r="S13" s="46">
        <f t="shared" si="1"/>
        <v>10</v>
      </c>
    </row>
    <row r="14" spans="1:79">
      <c r="A14" s="54"/>
      <c r="B14" s="67"/>
      <c r="C14" s="123"/>
      <c r="E14" s="95" t="s">
        <v>142</v>
      </c>
      <c r="G14" s="8" t="s">
        <v>143</v>
      </c>
      <c r="H14" s="8">
        <f xml:space="preserve"> SUM(J14:CA14)</f>
        <v>1</v>
      </c>
      <c r="J14" s="8">
        <f t="shared" ref="J14:S14" si="2" xml:space="preserve"> IF( J13 = 1, 1, 0)</f>
        <v>1</v>
      </c>
      <c r="K14" s="8">
        <f t="shared" si="2"/>
        <v>0</v>
      </c>
      <c r="L14" s="8">
        <f t="shared" si="2"/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 t="shared" si="2"/>
        <v>0</v>
      </c>
      <c r="Q14" s="8">
        <f t="shared" si="2"/>
        <v>0</v>
      </c>
      <c r="R14" s="8">
        <f t="shared" si="2"/>
        <v>0</v>
      </c>
      <c r="S14" s="8">
        <f t="shared" si="2"/>
        <v>0</v>
      </c>
    </row>
    <row r="15" spans="1:79">
      <c r="A15" s="54"/>
      <c r="B15" s="67"/>
      <c r="C15" s="123"/>
    </row>
    <row r="16" spans="1:79" s="41" customFormat="1">
      <c r="A16" s="75"/>
      <c r="B16" s="76"/>
      <c r="C16" s="125"/>
      <c r="D16" s="77"/>
      <c r="E16" s="98" t="str">
        <f xml:space="preserve"> Inputs!E$10</f>
        <v>First date of time ruler</v>
      </c>
      <c r="F16" s="41">
        <f xml:space="preserve"> Inputs!F$10</f>
        <v>43191</v>
      </c>
      <c r="G16" s="41" t="str">
        <f xml:space="preserve"> Inputs!G$10</f>
        <v>date</v>
      </c>
      <c r="I16" s="35"/>
    </row>
    <row r="17" spans="1:79" s="25" customFormat="1">
      <c r="A17" s="75"/>
      <c r="B17" s="76"/>
      <c r="C17" s="125"/>
      <c r="D17" s="77"/>
      <c r="E17" s="95" t="s">
        <v>144</v>
      </c>
      <c r="F17" s="25">
        <f xml:space="preserve"> DATE(YEAR(F16), MONTH(F16), 1)</f>
        <v>43191</v>
      </c>
      <c r="G17" s="25" t="s">
        <v>145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s="41" customFormat="1">
      <c r="A18" s="75"/>
      <c r="B18" s="76"/>
      <c r="C18" s="125"/>
      <c r="D18" s="77"/>
      <c r="E18" s="98"/>
      <c r="I18" s="35"/>
    </row>
    <row r="19" spans="1:79" s="25" customFormat="1">
      <c r="A19" s="75"/>
      <c r="B19" s="76"/>
      <c r="C19" s="125"/>
      <c r="D19" s="77"/>
      <c r="E19" s="95" t="str">
        <f xml:space="preserve"> E$17</f>
        <v>First model period BEG</v>
      </c>
      <c r="F19" s="25">
        <f xml:space="preserve"> F$17</f>
        <v>43191</v>
      </c>
      <c r="G19" s="25" t="str">
        <f xml:space="preserve"> G$17</f>
        <v>month</v>
      </c>
      <c r="I19" s="23"/>
    </row>
    <row r="20" spans="1:79">
      <c r="A20" s="54"/>
      <c r="B20" s="67"/>
      <c r="C20" s="123"/>
      <c r="E20" s="95" t="str">
        <f t="shared" ref="E20:S20" si="3" xml:space="preserve"> E$14</f>
        <v>First model column flag</v>
      </c>
      <c r="F20" s="8">
        <f t="shared" si="3"/>
        <v>0</v>
      </c>
      <c r="G20" s="8" t="str">
        <f t="shared" si="3"/>
        <v>flag</v>
      </c>
      <c r="H20" s="8">
        <f t="shared" si="3"/>
        <v>1</v>
      </c>
      <c r="I20" s="8">
        <f t="shared" si="3"/>
        <v>0</v>
      </c>
      <c r="J20" s="8">
        <f t="shared" si="3"/>
        <v>1</v>
      </c>
      <c r="K20" s="8">
        <f t="shared" si="3"/>
        <v>0</v>
      </c>
      <c r="L20" s="8">
        <f t="shared" si="3"/>
        <v>0</v>
      </c>
      <c r="M20" s="8">
        <f t="shared" si="3"/>
        <v>0</v>
      </c>
      <c r="N20" s="8">
        <f t="shared" si="3"/>
        <v>0</v>
      </c>
      <c r="O20" s="8">
        <f t="shared" si="3"/>
        <v>0</v>
      </c>
      <c r="P20" s="8">
        <f t="shared" si="3"/>
        <v>0</v>
      </c>
      <c r="Q20" s="8">
        <f t="shared" si="3"/>
        <v>0</v>
      </c>
      <c r="R20" s="8">
        <f t="shared" si="3"/>
        <v>0</v>
      </c>
      <c r="S20" s="8">
        <f t="shared" si="3"/>
        <v>0</v>
      </c>
    </row>
    <row r="21" spans="1:79" s="22" customFormat="1">
      <c r="A21" s="78"/>
      <c r="B21" s="79"/>
      <c r="C21" s="126"/>
      <c r="D21" s="80"/>
      <c r="E21" s="95" t="s">
        <v>146</v>
      </c>
      <c r="G21" s="22" t="s">
        <v>104</v>
      </c>
      <c r="J21" s="22">
        <f t="shared" ref="J21:S21" si="4" xml:space="preserve"> IF( J20 = 1, $F19, I22 + 1)</f>
        <v>43191</v>
      </c>
      <c r="K21" s="22">
        <f t="shared" si="4"/>
        <v>43556</v>
      </c>
      <c r="L21" s="22">
        <f t="shared" si="4"/>
        <v>43922</v>
      </c>
      <c r="M21" s="22">
        <f t="shared" si="4"/>
        <v>44287</v>
      </c>
      <c r="N21" s="22">
        <f t="shared" si="4"/>
        <v>44652</v>
      </c>
      <c r="O21" s="22">
        <f t="shared" si="4"/>
        <v>45017</v>
      </c>
      <c r="P21" s="22">
        <f t="shared" si="4"/>
        <v>45383</v>
      </c>
      <c r="Q21" s="22">
        <f t="shared" si="4"/>
        <v>45748</v>
      </c>
      <c r="R21" s="22">
        <f t="shared" si="4"/>
        <v>46113</v>
      </c>
      <c r="S21" s="22">
        <f t="shared" si="4"/>
        <v>46478</v>
      </c>
    </row>
    <row r="22" spans="1:79" s="44" customFormat="1">
      <c r="A22" s="78"/>
      <c r="B22" s="81"/>
      <c r="C22" s="127"/>
      <c r="D22" s="82"/>
      <c r="E22" s="99" t="s">
        <v>147</v>
      </c>
      <c r="F22" s="39"/>
      <c r="G22" s="44" t="s">
        <v>104</v>
      </c>
      <c r="I22" s="45"/>
      <c r="J22" s="44">
        <f t="shared" ref="J22:S22" si="5" xml:space="preserve"> DATE(YEAR(J21), MONTH(J21) + 12, DAY(1) - 1)</f>
        <v>43555</v>
      </c>
      <c r="K22" s="44">
        <f t="shared" si="5"/>
        <v>43921</v>
      </c>
      <c r="L22" s="44">
        <f t="shared" si="5"/>
        <v>44286</v>
      </c>
      <c r="M22" s="44">
        <f t="shared" si="5"/>
        <v>44651</v>
      </c>
      <c r="N22" s="44">
        <f t="shared" si="5"/>
        <v>45016</v>
      </c>
      <c r="O22" s="44">
        <f t="shared" si="5"/>
        <v>45382</v>
      </c>
      <c r="P22" s="44">
        <f t="shared" si="5"/>
        <v>45747</v>
      </c>
      <c r="Q22" s="44">
        <f t="shared" si="5"/>
        <v>46112</v>
      </c>
      <c r="R22" s="44">
        <f t="shared" si="5"/>
        <v>46477</v>
      </c>
      <c r="S22" s="44">
        <f t="shared" si="5"/>
        <v>46843</v>
      </c>
    </row>
    <row r="23" spans="1:79" s="34" customFormat="1">
      <c r="A23" s="78"/>
      <c r="B23" s="81"/>
      <c r="C23" s="127"/>
      <c r="D23" s="82"/>
      <c r="E23" s="96"/>
    </row>
    <row r="24" spans="1:79" s="34" customFormat="1">
      <c r="A24" s="78"/>
      <c r="B24" s="81"/>
      <c r="C24" s="127"/>
      <c r="D24" s="82"/>
      <c r="E24" s="96" t="str">
        <f t="shared" ref="E24:S24" si="6" xml:space="preserve"> E$22</f>
        <v>Model Period END</v>
      </c>
      <c r="F24" s="34">
        <f t="shared" si="6"/>
        <v>0</v>
      </c>
      <c r="G24" s="34" t="str">
        <f t="shared" si="6"/>
        <v>date</v>
      </c>
      <c r="H24" s="34">
        <f t="shared" si="6"/>
        <v>0</v>
      </c>
      <c r="I24" s="34">
        <f t="shared" si="6"/>
        <v>0</v>
      </c>
      <c r="J24" s="34">
        <f t="shared" si="6"/>
        <v>43555</v>
      </c>
      <c r="K24" s="34">
        <f t="shared" si="6"/>
        <v>43921</v>
      </c>
      <c r="L24" s="34">
        <f t="shared" si="6"/>
        <v>44286</v>
      </c>
      <c r="M24" s="34">
        <f t="shared" si="6"/>
        <v>44651</v>
      </c>
      <c r="N24" s="34">
        <f t="shared" si="6"/>
        <v>45016</v>
      </c>
      <c r="O24" s="34">
        <f t="shared" si="6"/>
        <v>45382</v>
      </c>
      <c r="P24" s="34">
        <f t="shared" si="6"/>
        <v>45747</v>
      </c>
      <c r="Q24" s="34">
        <f t="shared" si="6"/>
        <v>46112</v>
      </c>
      <c r="R24" s="34">
        <f t="shared" si="6"/>
        <v>46477</v>
      </c>
      <c r="S24" s="34">
        <f t="shared" si="6"/>
        <v>46843</v>
      </c>
    </row>
    <row r="25" spans="1:79" s="34" customFormat="1">
      <c r="A25" s="78"/>
      <c r="B25" s="81"/>
      <c r="C25" s="127"/>
      <c r="D25" s="82" t="s">
        <v>148</v>
      </c>
      <c r="E25" s="96" t="str">
        <f t="shared" ref="E25:S25" si="7" xml:space="preserve"> E$21</f>
        <v>Model Period BEG</v>
      </c>
      <c r="F25" s="34">
        <f t="shared" si="7"/>
        <v>0</v>
      </c>
      <c r="G25" s="34" t="str">
        <f t="shared" si="7"/>
        <v>date</v>
      </c>
      <c r="H25" s="34">
        <f t="shared" si="7"/>
        <v>0</v>
      </c>
      <c r="I25" s="34">
        <f t="shared" si="7"/>
        <v>0</v>
      </c>
      <c r="J25" s="34">
        <f t="shared" si="7"/>
        <v>43191</v>
      </c>
      <c r="K25" s="34">
        <f t="shared" si="7"/>
        <v>43556</v>
      </c>
      <c r="L25" s="34">
        <f t="shared" si="7"/>
        <v>43922</v>
      </c>
      <c r="M25" s="34">
        <f t="shared" si="7"/>
        <v>44287</v>
      </c>
      <c r="N25" s="34">
        <f t="shared" si="7"/>
        <v>44652</v>
      </c>
      <c r="O25" s="34">
        <f t="shared" si="7"/>
        <v>45017</v>
      </c>
      <c r="P25" s="34">
        <f t="shared" si="7"/>
        <v>45383</v>
      </c>
      <c r="Q25" s="34">
        <f t="shared" si="7"/>
        <v>45748</v>
      </c>
      <c r="R25" s="34">
        <f t="shared" si="7"/>
        <v>46113</v>
      </c>
      <c r="S25" s="34">
        <f t="shared" si="7"/>
        <v>46478</v>
      </c>
    </row>
    <row r="26" spans="1:79" s="43" customFormat="1">
      <c r="A26" s="83"/>
      <c r="B26" s="84"/>
      <c r="C26" s="128"/>
      <c r="D26" s="85"/>
      <c r="E26" s="96" t="s">
        <v>149</v>
      </c>
      <c r="G26" s="43" t="s">
        <v>150</v>
      </c>
      <c r="H26" s="24">
        <f xml:space="preserve"> SUM(J26:CA26)</f>
        <v>3653</v>
      </c>
      <c r="J26" s="24">
        <f t="shared" ref="J26:S26" si="8" xml:space="preserve"> J24 - J25 + 1</f>
        <v>365</v>
      </c>
      <c r="K26" s="24">
        <f t="shared" si="8"/>
        <v>366</v>
      </c>
      <c r="L26" s="24">
        <f t="shared" si="8"/>
        <v>365</v>
      </c>
      <c r="M26" s="24">
        <f t="shared" si="8"/>
        <v>365</v>
      </c>
      <c r="N26" s="24">
        <f t="shared" si="8"/>
        <v>365</v>
      </c>
      <c r="O26" s="24">
        <f t="shared" si="8"/>
        <v>366</v>
      </c>
      <c r="P26" s="24">
        <f t="shared" si="8"/>
        <v>365</v>
      </c>
      <c r="Q26" s="24">
        <f t="shared" si="8"/>
        <v>365</v>
      </c>
      <c r="R26" s="24">
        <f t="shared" si="8"/>
        <v>365</v>
      </c>
      <c r="S26" s="24">
        <f t="shared" si="8"/>
        <v>366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</row>
    <row r="27" spans="1:79" s="68" customFormat="1">
      <c r="A27" s="86"/>
      <c r="B27" s="62"/>
      <c r="C27" s="108"/>
      <c r="D27" s="57"/>
      <c r="E27" s="97"/>
      <c r="G27" s="42"/>
    </row>
    <row r="28" spans="1:79" s="68" customFormat="1">
      <c r="A28" s="86"/>
      <c r="B28" s="62"/>
      <c r="C28" s="108"/>
      <c r="D28" s="57"/>
      <c r="E28" s="97"/>
      <c r="G28" s="42"/>
    </row>
    <row r="29" spans="1:79" s="34" customFormat="1">
      <c r="A29" s="78" t="s">
        <v>151</v>
      </c>
      <c r="B29" s="81"/>
      <c r="C29" s="127"/>
      <c r="D29" s="82"/>
      <c r="E29" s="96"/>
    </row>
    <row r="30" spans="1:79" s="34" customFormat="1">
      <c r="A30" s="78"/>
      <c r="B30" s="81"/>
      <c r="C30" s="127"/>
      <c r="D30" s="82"/>
      <c r="E30" s="96"/>
    </row>
    <row r="31" spans="1:79" s="35" customFormat="1">
      <c r="A31" s="75"/>
      <c r="B31" s="87"/>
      <c r="C31" s="129"/>
      <c r="D31" s="88"/>
      <c r="E31" s="100" t="str">
        <f xml:space="preserve"> Inputs!E$11</f>
        <v>Last Pre Forecast Date</v>
      </c>
      <c r="F31" s="35">
        <f xml:space="preserve"> Inputs!F$11</f>
        <v>43921</v>
      </c>
      <c r="G31" s="35" t="str">
        <f xml:space="preserve"> Inputs!G$11</f>
        <v>date</v>
      </c>
    </row>
    <row r="32" spans="1:79" s="89" customFormat="1">
      <c r="A32" s="78"/>
      <c r="B32" s="79"/>
      <c r="C32" s="126"/>
      <c r="D32" s="80"/>
      <c r="E32" s="101" t="str">
        <f t="shared" ref="E32:S32" si="9" xml:space="preserve"> E$22</f>
        <v>Model Period END</v>
      </c>
      <c r="F32" s="89">
        <f t="shared" si="9"/>
        <v>0</v>
      </c>
      <c r="G32" s="89" t="str">
        <f t="shared" si="9"/>
        <v>date</v>
      </c>
      <c r="H32" s="89">
        <f t="shared" si="9"/>
        <v>0</v>
      </c>
      <c r="I32" s="89">
        <f t="shared" si="9"/>
        <v>0</v>
      </c>
      <c r="J32" s="89">
        <f t="shared" si="9"/>
        <v>43555</v>
      </c>
      <c r="K32" s="89">
        <f t="shared" si="9"/>
        <v>43921</v>
      </c>
      <c r="L32" s="89">
        <f t="shared" si="9"/>
        <v>44286</v>
      </c>
      <c r="M32" s="89">
        <f t="shared" si="9"/>
        <v>44651</v>
      </c>
      <c r="N32" s="89">
        <f t="shared" si="9"/>
        <v>45016</v>
      </c>
      <c r="O32" s="89">
        <f t="shared" si="9"/>
        <v>45382</v>
      </c>
      <c r="P32" s="89">
        <f t="shared" si="9"/>
        <v>45747</v>
      </c>
      <c r="Q32" s="89">
        <f t="shared" si="9"/>
        <v>46112</v>
      </c>
      <c r="R32" s="89">
        <f t="shared" si="9"/>
        <v>46477</v>
      </c>
      <c r="S32" s="89">
        <f t="shared" si="9"/>
        <v>46843</v>
      </c>
    </row>
    <row r="33" spans="1:79">
      <c r="A33" s="54"/>
      <c r="B33" s="67"/>
      <c r="C33" s="123"/>
      <c r="E33" s="95" t="s">
        <v>152</v>
      </c>
      <c r="G33" s="8" t="s">
        <v>143</v>
      </c>
      <c r="H33" s="8">
        <f xml:space="preserve"> SUM(J33:CA33)</f>
        <v>1</v>
      </c>
      <c r="J33" s="8">
        <f t="shared" ref="J33:S33" si="10" xml:space="preserve"> IF(J32 = $F31, 1, 0)</f>
        <v>0</v>
      </c>
      <c r="K33" s="8">
        <f t="shared" si="10"/>
        <v>1</v>
      </c>
      <c r="L33" s="8">
        <f t="shared" si="10"/>
        <v>0</v>
      </c>
      <c r="M33" s="8">
        <f t="shared" si="10"/>
        <v>0</v>
      </c>
      <c r="N33" s="8">
        <f t="shared" si="10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</row>
    <row r="34" spans="1:79">
      <c r="A34" s="54"/>
      <c r="B34" s="67"/>
      <c r="C34" s="123"/>
      <c r="E34" s="95" t="s">
        <v>153</v>
      </c>
      <c r="G34" s="8" t="s">
        <v>143</v>
      </c>
      <c r="H34" s="8">
        <f xml:space="preserve"> SUM(J34:CA34)</f>
        <v>2</v>
      </c>
      <c r="J34" s="8">
        <f t="shared" ref="J34:S34" si="11" xml:space="preserve"> IF($F31 &gt;= J32, 1, 0)</f>
        <v>1</v>
      </c>
      <c r="K34" s="8">
        <f t="shared" si="11"/>
        <v>1</v>
      </c>
      <c r="L34" s="8">
        <f t="shared" si="11"/>
        <v>0</v>
      </c>
      <c r="M34" s="8">
        <f t="shared" si="11"/>
        <v>0</v>
      </c>
      <c r="N34" s="8">
        <f t="shared" si="11"/>
        <v>0</v>
      </c>
      <c r="O34" s="8">
        <f t="shared" si="11"/>
        <v>0</v>
      </c>
      <c r="P34" s="8">
        <f t="shared" si="11"/>
        <v>0</v>
      </c>
      <c r="Q34" s="8">
        <f t="shared" si="11"/>
        <v>0</v>
      </c>
      <c r="R34" s="8">
        <f t="shared" si="11"/>
        <v>0</v>
      </c>
      <c r="S34" s="8">
        <f t="shared" si="11"/>
        <v>0</v>
      </c>
    </row>
    <row r="35" spans="1:79" s="50" customFormat="1">
      <c r="A35" s="54"/>
      <c r="B35" s="64"/>
      <c r="C35" s="110"/>
      <c r="D35" s="60"/>
      <c r="E35" s="96" t="s">
        <v>154</v>
      </c>
      <c r="F35" s="24">
        <f xml:space="preserve"> SUM(J34:CA34)</f>
        <v>2</v>
      </c>
      <c r="G35" s="50" t="s">
        <v>155</v>
      </c>
    </row>
    <row r="36" spans="1:79" s="50" customFormat="1">
      <c r="A36" s="54"/>
      <c r="B36" s="64"/>
      <c r="C36" s="110"/>
      <c r="D36" s="60"/>
      <c r="E36" s="96"/>
    </row>
    <row r="37" spans="1:79" s="41" customFormat="1">
      <c r="A37" s="90"/>
      <c r="B37" s="76"/>
      <c r="C37" s="125"/>
      <c r="D37" s="77"/>
      <c r="E37" s="98" t="str">
        <f xml:space="preserve"> Inputs!E$12</f>
        <v>Acquisition date (midnight)</v>
      </c>
      <c r="F37" s="41">
        <f xml:space="preserve"> Inputs!F$12</f>
        <v>43921</v>
      </c>
      <c r="G37" s="41" t="str">
        <f xml:space="preserve"> Inputs!G$12</f>
        <v>date</v>
      </c>
    </row>
    <row r="38" spans="1:79" s="89" customFormat="1">
      <c r="A38" s="78"/>
      <c r="B38" s="79"/>
      <c r="C38" s="126"/>
      <c r="D38" s="80"/>
      <c r="E38" s="101" t="str">
        <f t="shared" ref="E38:S38" si="12" xml:space="preserve"> E$22</f>
        <v>Model Period END</v>
      </c>
      <c r="F38" s="89">
        <f t="shared" si="12"/>
        <v>0</v>
      </c>
      <c r="G38" s="89" t="str">
        <f t="shared" si="12"/>
        <v>date</v>
      </c>
      <c r="H38" s="89">
        <f t="shared" si="12"/>
        <v>0</v>
      </c>
      <c r="I38" s="89">
        <f t="shared" si="12"/>
        <v>0</v>
      </c>
      <c r="J38" s="89">
        <f t="shared" si="12"/>
        <v>43555</v>
      </c>
      <c r="K38" s="89">
        <f t="shared" si="12"/>
        <v>43921</v>
      </c>
      <c r="L38" s="89">
        <f t="shared" si="12"/>
        <v>44286</v>
      </c>
      <c r="M38" s="89">
        <f t="shared" si="12"/>
        <v>44651</v>
      </c>
      <c r="N38" s="89">
        <f t="shared" si="12"/>
        <v>45016</v>
      </c>
      <c r="O38" s="89">
        <f t="shared" si="12"/>
        <v>45382</v>
      </c>
      <c r="P38" s="89">
        <f t="shared" si="12"/>
        <v>45747</v>
      </c>
      <c r="Q38" s="89">
        <f t="shared" si="12"/>
        <v>46112</v>
      </c>
      <c r="R38" s="89">
        <f t="shared" si="12"/>
        <v>46477</v>
      </c>
      <c r="S38" s="89">
        <f t="shared" si="12"/>
        <v>46843</v>
      </c>
    </row>
    <row r="39" spans="1:79" s="40" customFormat="1">
      <c r="A39" s="54"/>
      <c r="B39" s="67"/>
      <c r="C39" s="123"/>
      <c r="D39" s="59"/>
      <c r="E39" s="102" t="s">
        <v>156</v>
      </c>
      <c r="G39" s="40" t="s">
        <v>143</v>
      </c>
      <c r="H39" s="40">
        <f xml:space="preserve"> SUM(J39:CA39)</f>
        <v>1</v>
      </c>
      <c r="J39" s="40">
        <f t="shared" ref="J39:S39" si="13" xml:space="preserve"> IF(J38 = $F37, 1, 0)</f>
        <v>0</v>
      </c>
      <c r="K39" s="40">
        <f t="shared" si="13"/>
        <v>1</v>
      </c>
      <c r="L39" s="40">
        <f t="shared" si="13"/>
        <v>0</v>
      </c>
      <c r="M39" s="40">
        <f t="shared" si="13"/>
        <v>0</v>
      </c>
      <c r="N39" s="40">
        <f t="shared" si="13"/>
        <v>0</v>
      </c>
      <c r="O39" s="40">
        <f t="shared" si="13"/>
        <v>0</v>
      </c>
      <c r="P39" s="40">
        <f t="shared" si="13"/>
        <v>0</v>
      </c>
      <c r="Q39" s="40">
        <f t="shared" si="13"/>
        <v>0</v>
      </c>
      <c r="R39" s="40">
        <f t="shared" si="13"/>
        <v>0</v>
      </c>
      <c r="S39" s="40">
        <f t="shared" si="13"/>
        <v>0</v>
      </c>
    </row>
    <row r="40" spans="1:79" s="34" customFormat="1">
      <c r="A40" s="78"/>
      <c r="B40" s="81"/>
      <c r="C40" s="127"/>
      <c r="D40" s="82"/>
      <c r="E40" s="96"/>
    </row>
    <row r="41" spans="1:79" s="34" customFormat="1">
      <c r="A41" s="78"/>
      <c r="B41" s="81"/>
      <c r="C41" s="127"/>
      <c r="D41" s="82"/>
      <c r="E41" s="96"/>
    </row>
    <row r="42" spans="1:79" s="50" customFormat="1">
      <c r="A42" s="54" t="s">
        <v>157</v>
      </c>
      <c r="B42" s="64"/>
      <c r="C42" s="110"/>
      <c r="D42" s="60"/>
      <c r="E42" s="96"/>
    </row>
    <row r="43" spans="1:79" s="50" customFormat="1">
      <c r="A43" s="54"/>
      <c r="B43" s="64"/>
      <c r="C43" s="110"/>
      <c r="D43" s="60"/>
      <c r="E43" s="96"/>
    </row>
    <row r="44" spans="1:79">
      <c r="E44" s="95" t="str">
        <f t="shared" ref="E44:S44" si="14" xml:space="preserve"> E$33</f>
        <v>Last Pre Forecast Flag</v>
      </c>
      <c r="F44" s="8">
        <f t="shared" si="14"/>
        <v>0</v>
      </c>
      <c r="G44" s="8" t="str">
        <f t="shared" si="14"/>
        <v>flag</v>
      </c>
      <c r="H44" s="8">
        <f t="shared" si="14"/>
        <v>1</v>
      </c>
      <c r="I44" s="8">
        <f t="shared" si="14"/>
        <v>0</v>
      </c>
      <c r="J44" s="8">
        <f t="shared" si="14"/>
        <v>0</v>
      </c>
      <c r="K44" s="8">
        <f t="shared" si="14"/>
        <v>1</v>
      </c>
      <c r="L44" s="8">
        <f t="shared" si="14"/>
        <v>0</v>
      </c>
      <c r="M44" s="8">
        <f t="shared" si="14"/>
        <v>0</v>
      </c>
      <c r="N44" s="8">
        <f t="shared" si="14"/>
        <v>0</v>
      </c>
      <c r="O44" s="8">
        <f t="shared" si="14"/>
        <v>0</v>
      </c>
      <c r="P44" s="8">
        <f t="shared" si="14"/>
        <v>0</v>
      </c>
      <c r="Q44" s="8">
        <f t="shared" si="14"/>
        <v>0</v>
      </c>
      <c r="R44" s="8">
        <f t="shared" si="14"/>
        <v>0</v>
      </c>
      <c r="S44" s="8">
        <f t="shared" si="14"/>
        <v>0</v>
      </c>
    </row>
    <row r="45" spans="1:79">
      <c r="E45" s="95" t="s">
        <v>158</v>
      </c>
      <c r="G45" s="8" t="s">
        <v>143</v>
      </c>
      <c r="H45" s="8">
        <f xml:space="preserve"> SUM(J45:CA45)</f>
        <v>1</v>
      </c>
      <c r="J45" s="8">
        <f t="shared" ref="J45:S45" si="15" xml:space="preserve"> I44</f>
        <v>0</v>
      </c>
      <c r="K45" s="8">
        <f t="shared" si="15"/>
        <v>0</v>
      </c>
      <c r="L45" s="8">
        <f t="shared" si="15"/>
        <v>1</v>
      </c>
      <c r="M45" s="8">
        <f t="shared" si="15"/>
        <v>0</v>
      </c>
      <c r="N45" s="8">
        <f t="shared" si="15"/>
        <v>0</v>
      </c>
      <c r="O45" s="8">
        <f t="shared" si="15"/>
        <v>0</v>
      </c>
      <c r="P45" s="8">
        <f t="shared" si="15"/>
        <v>0</v>
      </c>
      <c r="Q45" s="8">
        <f t="shared" si="15"/>
        <v>0</v>
      </c>
      <c r="R45" s="8">
        <f t="shared" si="15"/>
        <v>0</v>
      </c>
      <c r="S45" s="8">
        <f t="shared" si="15"/>
        <v>0</v>
      </c>
    </row>
    <row r="47" spans="1:79" s="35" customFormat="1">
      <c r="A47" s="75"/>
      <c r="B47" s="87"/>
      <c r="C47" s="129"/>
      <c r="D47" s="88"/>
      <c r="E47" s="100" t="str">
        <f>Inputs!E$13</f>
        <v>Last forecast date</v>
      </c>
      <c r="F47" s="35">
        <f>Inputs!F$13</f>
        <v>45747</v>
      </c>
      <c r="G47" s="35" t="str">
        <f>Inputs!G$13</f>
        <v>date</v>
      </c>
    </row>
    <row r="48" spans="1:79">
      <c r="E48" s="103" t="str">
        <f t="shared" ref="E48:S48" si="16" xml:space="preserve"> E$22</f>
        <v>Model Period END</v>
      </c>
      <c r="F48" s="91">
        <f t="shared" si="16"/>
        <v>0</v>
      </c>
      <c r="G48" s="91" t="str">
        <f t="shared" si="16"/>
        <v>date</v>
      </c>
      <c r="H48" s="91">
        <f t="shared" si="16"/>
        <v>0</v>
      </c>
      <c r="I48" s="92">
        <f t="shared" si="16"/>
        <v>0</v>
      </c>
      <c r="J48" s="91">
        <f t="shared" si="16"/>
        <v>43555</v>
      </c>
      <c r="K48" s="91">
        <f t="shared" si="16"/>
        <v>43921</v>
      </c>
      <c r="L48" s="91">
        <f t="shared" si="16"/>
        <v>44286</v>
      </c>
      <c r="M48" s="91">
        <f t="shared" si="16"/>
        <v>44651</v>
      </c>
      <c r="N48" s="91">
        <f t="shared" si="16"/>
        <v>45016</v>
      </c>
      <c r="O48" s="91">
        <f t="shared" si="16"/>
        <v>45382</v>
      </c>
      <c r="P48" s="91">
        <f t="shared" si="16"/>
        <v>45747</v>
      </c>
      <c r="Q48" s="91">
        <f t="shared" si="16"/>
        <v>46112</v>
      </c>
      <c r="R48" s="91">
        <f t="shared" si="16"/>
        <v>46477</v>
      </c>
      <c r="S48" s="91">
        <f t="shared" si="16"/>
        <v>46843</v>
      </c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</row>
    <row r="49" spans="1:79">
      <c r="E49" s="96" t="s">
        <v>159</v>
      </c>
      <c r="G49" s="8" t="s">
        <v>143</v>
      </c>
      <c r="H49" s="8">
        <f xml:space="preserve"> SUM(J49:CA49)</f>
        <v>1</v>
      </c>
      <c r="J49" s="8">
        <f t="shared" ref="J49:S49" si="17" xml:space="preserve"> IF(AND($F47 &gt; I48, $F47 &lt;= J48), 1, 0)</f>
        <v>0</v>
      </c>
      <c r="K49" s="8">
        <f t="shared" si="17"/>
        <v>0</v>
      </c>
      <c r="L49" s="8">
        <f t="shared" si="17"/>
        <v>0</v>
      </c>
      <c r="M49" s="8">
        <f t="shared" si="17"/>
        <v>0</v>
      </c>
      <c r="N49" s="8">
        <f t="shared" si="17"/>
        <v>0</v>
      </c>
      <c r="O49" s="8">
        <f t="shared" si="17"/>
        <v>0</v>
      </c>
      <c r="P49" s="8">
        <f t="shared" si="17"/>
        <v>1</v>
      </c>
      <c r="Q49" s="8">
        <f t="shared" si="17"/>
        <v>0</v>
      </c>
      <c r="R49" s="8">
        <f t="shared" si="17"/>
        <v>0</v>
      </c>
      <c r="S49" s="8">
        <f t="shared" si="17"/>
        <v>0</v>
      </c>
    </row>
    <row r="50" spans="1:79">
      <c r="E50" s="96"/>
    </row>
    <row r="51" spans="1:79">
      <c r="E51" s="96" t="str">
        <f t="shared" ref="E51:S51" si="18" xml:space="preserve"> E$45</f>
        <v>1st Forecast Period Flag</v>
      </c>
      <c r="F51" s="50">
        <f t="shared" si="18"/>
        <v>0</v>
      </c>
      <c r="G51" s="50" t="str">
        <f t="shared" si="18"/>
        <v>flag</v>
      </c>
      <c r="H51" s="50">
        <f t="shared" si="18"/>
        <v>1</v>
      </c>
      <c r="I51" s="50">
        <f t="shared" si="18"/>
        <v>0</v>
      </c>
      <c r="J51" s="50">
        <f t="shared" si="18"/>
        <v>0</v>
      </c>
      <c r="K51" s="50">
        <f t="shared" si="18"/>
        <v>0</v>
      </c>
      <c r="L51" s="50">
        <f t="shared" si="18"/>
        <v>1</v>
      </c>
      <c r="M51" s="50">
        <f t="shared" si="18"/>
        <v>0</v>
      </c>
      <c r="N51" s="50">
        <f t="shared" si="18"/>
        <v>0</v>
      </c>
      <c r="O51" s="50">
        <f t="shared" si="18"/>
        <v>0</v>
      </c>
      <c r="P51" s="50">
        <f t="shared" si="18"/>
        <v>0</v>
      </c>
      <c r="Q51" s="50">
        <f t="shared" si="18"/>
        <v>0</v>
      </c>
      <c r="R51" s="50">
        <f t="shared" si="18"/>
        <v>0</v>
      </c>
      <c r="S51" s="50">
        <f t="shared" si="18"/>
        <v>0</v>
      </c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</row>
    <row r="52" spans="1:79">
      <c r="E52" s="96" t="str">
        <f t="shared" ref="E52:S52" si="19" xml:space="preserve"> E$49</f>
        <v>Last Forecast Period Flag</v>
      </c>
      <c r="F52" s="50">
        <f t="shared" si="19"/>
        <v>0</v>
      </c>
      <c r="G52" s="50" t="str">
        <f t="shared" si="19"/>
        <v>flag</v>
      </c>
      <c r="H52" s="50">
        <f t="shared" si="19"/>
        <v>1</v>
      </c>
      <c r="I52" s="17">
        <f t="shared" si="19"/>
        <v>0</v>
      </c>
      <c r="J52" s="50">
        <f t="shared" si="19"/>
        <v>0</v>
      </c>
      <c r="K52" s="50">
        <f t="shared" si="19"/>
        <v>0</v>
      </c>
      <c r="L52" s="50">
        <f t="shared" si="19"/>
        <v>0</v>
      </c>
      <c r="M52" s="50">
        <f t="shared" si="19"/>
        <v>0</v>
      </c>
      <c r="N52" s="50">
        <f t="shared" si="19"/>
        <v>0</v>
      </c>
      <c r="O52" s="50">
        <f t="shared" si="19"/>
        <v>0</v>
      </c>
      <c r="P52" s="50">
        <f t="shared" si="19"/>
        <v>1</v>
      </c>
      <c r="Q52" s="50">
        <f t="shared" si="19"/>
        <v>0</v>
      </c>
      <c r="R52" s="50">
        <f t="shared" si="19"/>
        <v>0</v>
      </c>
      <c r="S52" s="50">
        <f t="shared" si="19"/>
        <v>0</v>
      </c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</row>
    <row r="53" spans="1:79" s="37" customFormat="1">
      <c r="A53" s="55"/>
      <c r="B53" s="64"/>
      <c r="C53" s="110"/>
      <c r="D53" s="59"/>
      <c r="E53" s="99" t="s">
        <v>160</v>
      </c>
      <c r="G53" s="37" t="s">
        <v>143</v>
      </c>
      <c r="H53" s="37">
        <f xml:space="preserve"> SUM(J53:CA53)</f>
        <v>5</v>
      </c>
      <c r="I53" s="38"/>
      <c r="J53" s="37">
        <f t="shared" ref="J53:S53" si="20" xml:space="preserve"> J51 - I52 + I53</f>
        <v>0</v>
      </c>
      <c r="K53" s="37">
        <f t="shared" si="20"/>
        <v>0</v>
      </c>
      <c r="L53" s="37">
        <f t="shared" si="20"/>
        <v>1</v>
      </c>
      <c r="M53" s="37">
        <f t="shared" si="20"/>
        <v>1</v>
      </c>
      <c r="N53" s="37">
        <f t="shared" si="20"/>
        <v>1</v>
      </c>
      <c r="O53" s="37">
        <f t="shared" si="20"/>
        <v>1</v>
      </c>
      <c r="P53" s="37">
        <f t="shared" si="20"/>
        <v>1</v>
      </c>
      <c r="Q53" s="37">
        <f t="shared" si="20"/>
        <v>0</v>
      </c>
      <c r="R53" s="37">
        <f t="shared" si="20"/>
        <v>0</v>
      </c>
      <c r="S53" s="37">
        <f t="shared" si="20"/>
        <v>0</v>
      </c>
    </row>
    <row r="54" spans="1:79" s="50" customFormat="1">
      <c r="A54" s="54"/>
      <c r="B54" s="64"/>
      <c r="C54" s="110"/>
      <c r="D54" s="60"/>
      <c r="E54" s="96" t="s">
        <v>161</v>
      </c>
      <c r="F54" s="50">
        <f xml:space="preserve"> SUM(J53:CA53)</f>
        <v>5</v>
      </c>
      <c r="G54" s="50" t="s">
        <v>155</v>
      </c>
    </row>
    <row r="55" spans="1:79" s="50" customFormat="1">
      <c r="A55" s="54"/>
      <c r="B55" s="64"/>
      <c r="C55" s="110"/>
      <c r="D55" s="60"/>
      <c r="E55" s="96"/>
    </row>
    <row r="56" spans="1:79" s="50" customFormat="1">
      <c r="A56" s="54"/>
      <c r="B56" s="64"/>
      <c r="C56" s="110"/>
      <c r="D56" s="60"/>
      <c r="E56" s="96" t="str">
        <f t="shared" ref="E56:S56" si="21" xml:space="preserve"> E$34</f>
        <v>Pre Forecast Period Flag</v>
      </c>
      <c r="F56" s="50">
        <f t="shared" si="21"/>
        <v>0</v>
      </c>
      <c r="G56" s="50" t="str">
        <f t="shared" si="21"/>
        <v>flag</v>
      </c>
      <c r="H56" s="50">
        <f t="shared" si="21"/>
        <v>2</v>
      </c>
      <c r="I56" s="50">
        <f t="shared" si="21"/>
        <v>0</v>
      </c>
      <c r="J56" s="50">
        <f t="shared" si="21"/>
        <v>1</v>
      </c>
      <c r="K56" s="50">
        <f t="shared" si="21"/>
        <v>1</v>
      </c>
      <c r="L56" s="50">
        <f t="shared" si="21"/>
        <v>0</v>
      </c>
      <c r="M56" s="50">
        <f t="shared" si="21"/>
        <v>0</v>
      </c>
      <c r="N56" s="50">
        <f t="shared" si="21"/>
        <v>0</v>
      </c>
      <c r="O56" s="50">
        <f t="shared" si="21"/>
        <v>0</v>
      </c>
      <c r="P56" s="50">
        <f t="shared" si="21"/>
        <v>0</v>
      </c>
      <c r="Q56" s="50">
        <f t="shared" si="21"/>
        <v>0</v>
      </c>
      <c r="R56" s="50">
        <f t="shared" si="21"/>
        <v>0</v>
      </c>
      <c r="S56" s="50">
        <f t="shared" si="21"/>
        <v>0</v>
      </c>
    </row>
    <row r="57" spans="1:79" s="50" customFormat="1">
      <c r="A57" s="54"/>
      <c r="B57" s="64"/>
      <c r="C57" s="110"/>
      <c r="D57" s="60"/>
      <c r="E57" s="96" t="str">
        <f t="shared" ref="E57:S57" si="22" xml:space="preserve"> E$53</f>
        <v>Forecast Period Flag</v>
      </c>
      <c r="F57" s="50">
        <f t="shared" si="22"/>
        <v>0</v>
      </c>
      <c r="G57" s="50" t="str">
        <f t="shared" si="22"/>
        <v>flag</v>
      </c>
      <c r="H57" s="50">
        <f t="shared" si="22"/>
        <v>5</v>
      </c>
      <c r="I57" s="50">
        <f t="shared" si="22"/>
        <v>0</v>
      </c>
      <c r="J57" s="50">
        <f t="shared" si="22"/>
        <v>0</v>
      </c>
      <c r="K57" s="50">
        <f t="shared" si="22"/>
        <v>0</v>
      </c>
      <c r="L57" s="50">
        <f t="shared" si="22"/>
        <v>1</v>
      </c>
      <c r="M57" s="50">
        <f t="shared" si="22"/>
        <v>1</v>
      </c>
      <c r="N57" s="50">
        <f t="shared" si="22"/>
        <v>1</v>
      </c>
      <c r="O57" s="50">
        <f t="shared" si="22"/>
        <v>1</v>
      </c>
      <c r="P57" s="50">
        <f t="shared" si="22"/>
        <v>1</v>
      </c>
      <c r="Q57" s="50">
        <f t="shared" si="22"/>
        <v>0</v>
      </c>
      <c r="R57" s="50">
        <f t="shared" si="22"/>
        <v>0</v>
      </c>
      <c r="S57" s="50">
        <f t="shared" si="22"/>
        <v>0</v>
      </c>
    </row>
    <row r="58" spans="1:79" s="50" customFormat="1">
      <c r="A58" s="54"/>
      <c r="B58" s="64"/>
      <c r="C58" s="110"/>
      <c r="D58" s="60"/>
      <c r="E58" s="96" t="s">
        <v>162</v>
      </c>
      <c r="G58" s="50" t="s">
        <v>143</v>
      </c>
      <c r="J58" s="50" t="str">
        <f t="shared" ref="J58:S58" si="23" xml:space="preserve"> IF(J56 = 1, "Pre Fcst", IF(J57 = 1, "Forecast", "Post-Fcst"))</f>
        <v>Pre Fcst</v>
      </c>
      <c r="K58" s="50" t="str">
        <f t="shared" si="23"/>
        <v>Pre Fcst</v>
      </c>
      <c r="L58" s="50" t="str">
        <f t="shared" si="23"/>
        <v>Forecast</v>
      </c>
      <c r="M58" s="50" t="str">
        <f t="shared" si="23"/>
        <v>Forecast</v>
      </c>
      <c r="N58" s="50" t="str">
        <f t="shared" si="23"/>
        <v>Forecast</v>
      </c>
      <c r="O58" s="50" t="str">
        <f t="shared" si="23"/>
        <v>Forecast</v>
      </c>
      <c r="P58" s="50" t="str">
        <f t="shared" si="23"/>
        <v>Forecast</v>
      </c>
      <c r="Q58" s="50" t="str">
        <f t="shared" si="23"/>
        <v>Post-Fcst</v>
      </c>
      <c r="R58" s="50" t="str">
        <f t="shared" si="23"/>
        <v>Post-Fcst</v>
      </c>
      <c r="S58" s="50" t="str">
        <f t="shared" si="23"/>
        <v>Post-Fcst</v>
      </c>
    </row>
    <row r="59" spans="1:79" s="50" customFormat="1">
      <c r="A59" s="54"/>
      <c r="B59" s="64"/>
      <c r="C59" s="110"/>
      <c r="D59" s="60"/>
      <c r="E59" s="96"/>
    </row>
    <row r="60" spans="1:79" s="50" customFormat="1">
      <c r="A60" s="54"/>
      <c r="B60" s="64"/>
      <c r="C60" s="110"/>
      <c r="D60" s="60"/>
      <c r="E60" s="96"/>
    </row>
    <row r="61" spans="1:79" s="50" customFormat="1">
      <c r="A61" s="54" t="s">
        <v>163</v>
      </c>
      <c r="B61" s="64"/>
      <c r="C61" s="110"/>
      <c r="D61" s="60"/>
      <c r="E61" s="96"/>
    </row>
    <row r="62" spans="1:79" s="50" customFormat="1">
      <c r="A62" s="54"/>
      <c r="B62" s="64"/>
      <c r="C62" s="110"/>
      <c r="D62" s="60"/>
      <c r="E62" s="96"/>
    </row>
    <row r="63" spans="1:79" s="50" customFormat="1">
      <c r="A63" s="54"/>
      <c r="B63" s="64"/>
      <c r="C63" s="110"/>
      <c r="D63" s="60"/>
      <c r="E63" s="96" t="str">
        <f t="shared" ref="E63:S63" si="24" xml:space="preserve"> E$49</f>
        <v>Last Forecast Period Flag</v>
      </c>
      <c r="F63" s="50">
        <f t="shared" si="24"/>
        <v>0</v>
      </c>
      <c r="G63" s="50" t="str">
        <f t="shared" si="24"/>
        <v>flag</v>
      </c>
      <c r="H63" s="50">
        <f t="shared" si="24"/>
        <v>1</v>
      </c>
      <c r="I63" s="17">
        <f t="shared" si="24"/>
        <v>0</v>
      </c>
      <c r="J63" s="50">
        <f t="shared" si="24"/>
        <v>0</v>
      </c>
      <c r="K63" s="50">
        <f t="shared" si="24"/>
        <v>0</v>
      </c>
      <c r="L63" s="50">
        <f t="shared" si="24"/>
        <v>0</v>
      </c>
      <c r="M63" s="50">
        <f t="shared" si="24"/>
        <v>0</v>
      </c>
      <c r="N63" s="50">
        <f t="shared" si="24"/>
        <v>0</v>
      </c>
      <c r="O63" s="50">
        <f t="shared" si="24"/>
        <v>0</v>
      </c>
      <c r="P63" s="50">
        <f t="shared" si="24"/>
        <v>1</v>
      </c>
      <c r="Q63" s="50">
        <f t="shared" si="24"/>
        <v>0</v>
      </c>
      <c r="R63" s="50">
        <f t="shared" si="24"/>
        <v>0</v>
      </c>
      <c r="S63" s="50">
        <f t="shared" si="24"/>
        <v>0</v>
      </c>
    </row>
    <row r="64" spans="1:79" s="50" customFormat="1">
      <c r="A64" s="54"/>
      <c r="B64" s="64"/>
      <c r="C64" s="110"/>
      <c r="D64" s="60"/>
      <c r="E64" s="96" t="s">
        <v>164</v>
      </c>
      <c r="G64" s="50" t="s">
        <v>143</v>
      </c>
      <c r="H64" s="50">
        <f xml:space="preserve"> SUM(J64:CA64)</f>
        <v>1</v>
      </c>
      <c r="J64" s="50">
        <f t="shared" ref="J64:S64" si="25" xml:space="preserve"> I63</f>
        <v>0</v>
      </c>
      <c r="K64" s="50">
        <f t="shared" si="25"/>
        <v>0</v>
      </c>
      <c r="L64" s="50">
        <f t="shared" si="25"/>
        <v>0</v>
      </c>
      <c r="M64" s="50">
        <f t="shared" si="25"/>
        <v>0</v>
      </c>
      <c r="N64" s="50">
        <f t="shared" si="25"/>
        <v>0</v>
      </c>
      <c r="O64" s="50">
        <f t="shared" si="25"/>
        <v>0</v>
      </c>
      <c r="P64" s="50">
        <f t="shared" si="25"/>
        <v>0</v>
      </c>
      <c r="Q64" s="50">
        <f t="shared" si="25"/>
        <v>1</v>
      </c>
      <c r="R64" s="50">
        <f t="shared" si="25"/>
        <v>0</v>
      </c>
      <c r="S64" s="50">
        <f t="shared" si="25"/>
        <v>0</v>
      </c>
    </row>
    <row r="65" spans="1:19" s="50" customFormat="1">
      <c r="A65" s="54"/>
      <c r="B65" s="64"/>
      <c r="C65" s="110"/>
      <c r="D65" s="60"/>
      <c r="E65" s="96"/>
    </row>
    <row r="66" spans="1:19" s="50" customFormat="1">
      <c r="A66" s="54"/>
      <c r="B66" s="64"/>
      <c r="C66" s="110"/>
      <c r="D66" s="60"/>
      <c r="E66" s="96" t="str">
        <f t="shared" ref="E66:S66" si="26" xml:space="preserve"> E$64</f>
        <v>1st Post Last Forecast Period Flag</v>
      </c>
      <c r="F66" s="50">
        <f t="shared" si="26"/>
        <v>0</v>
      </c>
      <c r="G66" s="50" t="str">
        <f t="shared" si="26"/>
        <v>flag</v>
      </c>
      <c r="H66" s="50">
        <f t="shared" si="26"/>
        <v>1</v>
      </c>
      <c r="I66" s="50">
        <f t="shared" si="26"/>
        <v>0</v>
      </c>
      <c r="J66" s="50">
        <f t="shared" si="26"/>
        <v>0</v>
      </c>
      <c r="K66" s="50">
        <f t="shared" si="26"/>
        <v>0</v>
      </c>
      <c r="L66" s="50">
        <f t="shared" si="26"/>
        <v>0</v>
      </c>
      <c r="M66" s="50">
        <f t="shared" si="26"/>
        <v>0</v>
      </c>
      <c r="N66" s="50">
        <f t="shared" si="26"/>
        <v>0</v>
      </c>
      <c r="O66" s="50">
        <f t="shared" si="26"/>
        <v>0</v>
      </c>
      <c r="P66" s="50">
        <f t="shared" si="26"/>
        <v>0</v>
      </c>
      <c r="Q66" s="50">
        <f t="shared" si="26"/>
        <v>1</v>
      </c>
      <c r="R66" s="50">
        <f t="shared" si="26"/>
        <v>0</v>
      </c>
      <c r="S66" s="50">
        <f t="shared" si="26"/>
        <v>0</v>
      </c>
    </row>
    <row r="67" spans="1:19" s="50" customFormat="1">
      <c r="A67" s="54"/>
      <c r="B67" s="64"/>
      <c r="C67" s="110"/>
      <c r="D67" s="60"/>
      <c r="E67" s="96" t="s">
        <v>165</v>
      </c>
      <c r="G67" s="50" t="s">
        <v>143</v>
      </c>
      <c r="H67" s="50">
        <f xml:space="preserve"> SUM(J67:CA67)</f>
        <v>3</v>
      </c>
      <c r="I67" s="17"/>
      <c r="J67" s="50">
        <f t="shared" ref="J67:S67" si="27" xml:space="preserve"> I67 + J66</f>
        <v>0</v>
      </c>
      <c r="K67" s="50">
        <f t="shared" si="27"/>
        <v>0</v>
      </c>
      <c r="L67" s="50">
        <f t="shared" si="27"/>
        <v>0</v>
      </c>
      <c r="M67" s="50">
        <f t="shared" si="27"/>
        <v>0</v>
      </c>
      <c r="N67" s="50">
        <f t="shared" si="27"/>
        <v>0</v>
      </c>
      <c r="O67" s="50">
        <f t="shared" si="27"/>
        <v>0</v>
      </c>
      <c r="P67" s="50">
        <f t="shared" si="27"/>
        <v>0</v>
      </c>
      <c r="Q67" s="50">
        <f t="shared" si="27"/>
        <v>1</v>
      </c>
      <c r="R67" s="50">
        <f t="shared" si="27"/>
        <v>1</v>
      </c>
      <c r="S67" s="50">
        <f t="shared" si="27"/>
        <v>1</v>
      </c>
    </row>
    <row r="68" spans="1:19" s="50" customFormat="1">
      <c r="A68" s="54"/>
      <c r="B68" s="64"/>
      <c r="C68" s="110"/>
      <c r="D68" s="60"/>
      <c r="E68" s="96" t="s">
        <v>166</v>
      </c>
      <c r="F68" s="50">
        <f xml:space="preserve"> SUM(J67:CA67)</f>
        <v>3</v>
      </c>
      <c r="G68" s="50" t="s">
        <v>155</v>
      </c>
    </row>
    <row r="71" spans="1:19" s="50" customFormat="1">
      <c r="A71" s="54" t="s">
        <v>167</v>
      </c>
      <c r="B71" s="64"/>
      <c r="C71" s="110"/>
      <c r="D71" s="60"/>
      <c r="E71" s="96"/>
    </row>
    <row r="73" spans="1:19">
      <c r="E73" s="95" t="str">
        <f xml:space="preserve"> E$11</f>
        <v>Model Column Total</v>
      </c>
      <c r="F73" s="8">
        <f xml:space="preserve"> F$11</f>
        <v>10</v>
      </c>
      <c r="G73" s="8" t="str">
        <f xml:space="preserve"> G$11</f>
        <v>column</v>
      </c>
    </row>
    <row r="74" spans="1:19">
      <c r="D74" s="59" t="s">
        <v>148</v>
      </c>
      <c r="E74" s="95" t="str">
        <f xml:space="preserve"> E$35</f>
        <v>Pre Forecast Period Total</v>
      </c>
      <c r="F74" s="8">
        <f xml:space="preserve"> F$35</f>
        <v>2</v>
      </c>
      <c r="G74" s="8" t="str">
        <f xml:space="preserve"> G$35</f>
        <v>columns</v>
      </c>
    </row>
    <row r="75" spans="1:19">
      <c r="D75" s="59" t="s">
        <v>148</v>
      </c>
      <c r="E75" s="95" t="str">
        <f xml:space="preserve"> E$54</f>
        <v xml:space="preserve">Forecast Period Total </v>
      </c>
      <c r="F75" s="8">
        <f xml:space="preserve"> F$54</f>
        <v>5</v>
      </c>
      <c r="G75" s="8" t="str">
        <f xml:space="preserve"> G$54</f>
        <v>columns</v>
      </c>
    </row>
    <row r="76" spans="1:19">
      <c r="D76" s="59" t="s">
        <v>148</v>
      </c>
      <c r="E76" s="95" t="str">
        <f xml:space="preserve"> E$68</f>
        <v>Post Forecast Period Total</v>
      </c>
      <c r="F76" s="8">
        <f xml:space="preserve"> F$68</f>
        <v>3</v>
      </c>
      <c r="G76" s="8" t="str">
        <f xml:space="preserve"> G$68</f>
        <v>columns</v>
      </c>
    </row>
    <row r="77" spans="1:19" s="50" customFormat="1">
      <c r="A77" s="54"/>
      <c r="B77" s="64"/>
      <c r="C77" s="110"/>
      <c r="D77" s="60"/>
      <c r="E77" s="96" t="s">
        <v>168</v>
      </c>
      <c r="F77" s="36">
        <f xml:space="preserve"> IF(F73 - SUM(F74:F76) &lt;&gt; 0, 1, 0)</f>
        <v>0</v>
      </c>
      <c r="G77" s="50" t="s">
        <v>169</v>
      </c>
    </row>
    <row r="80" spans="1:19" s="50" customFormat="1">
      <c r="A80" s="133" t="s">
        <v>170</v>
      </c>
      <c r="B80" s="64"/>
      <c r="C80" s="110"/>
      <c r="D80" s="60"/>
      <c r="E80" s="96"/>
    </row>
    <row r="82" spans="1:19">
      <c r="E82" s="100" t="str">
        <f>Inputs!E15</f>
        <v>First Modelling Column Financial Year Number</v>
      </c>
      <c r="F82" s="4">
        <f>Inputs!F15</f>
        <v>2018</v>
      </c>
      <c r="G82" s="106" t="str">
        <f>Inputs!G15</f>
        <v>year</v>
      </c>
    </row>
    <row r="83" spans="1:19">
      <c r="E83" s="100" t="str">
        <f>Inputs!E16</f>
        <v>Financial Year End Month Number</v>
      </c>
      <c r="F83" s="106">
        <f>Inputs!F16</f>
        <v>3</v>
      </c>
      <c r="G83" s="106" t="str">
        <f>Inputs!G16</f>
        <v>month #</v>
      </c>
    </row>
    <row r="84" spans="1:19" s="22" customFormat="1">
      <c r="A84" s="93"/>
      <c r="B84" s="81"/>
      <c r="C84" s="127"/>
      <c r="D84" s="80"/>
      <c r="E84" s="95" t="str">
        <f t="shared" ref="E84:S84" si="28" xml:space="preserve"> E$22</f>
        <v>Model Period END</v>
      </c>
      <c r="F84" s="22">
        <f t="shared" si="28"/>
        <v>0</v>
      </c>
      <c r="G84" s="22" t="str">
        <f t="shared" si="28"/>
        <v>date</v>
      </c>
      <c r="H84" s="22">
        <f t="shared" si="28"/>
        <v>0</v>
      </c>
      <c r="I84" s="22">
        <f t="shared" si="28"/>
        <v>0</v>
      </c>
      <c r="J84" s="22">
        <f t="shared" si="28"/>
        <v>43555</v>
      </c>
      <c r="K84" s="22">
        <f t="shared" si="28"/>
        <v>43921</v>
      </c>
      <c r="L84" s="22">
        <f t="shared" si="28"/>
        <v>44286</v>
      </c>
      <c r="M84" s="22">
        <f t="shared" si="28"/>
        <v>44651</v>
      </c>
      <c r="N84" s="22">
        <f t="shared" si="28"/>
        <v>45016</v>
      </c>
      <c r="O84" s="22">
        <f t="shared" si="28"/>
        <v>45382</v>
      </c>
      <c r="P84" s="22">
        <f t="shared" si="28"/>
        <v>45747</v>
      </c>
      <c r="Q84" s="22">
        <f t="shared" si="28"/>
        <v>46112</v>
      </c>
      <c r="R84" s="22">
        <f t="shared" si="28"/>
        <v>46477</v>
      </c>
      <c r="S84" s="22">
        <f t="shared" si="28"/>
        <v>46843</v>
      </c>
    </row>
    <row r="85" spans="1:19">
      <c r="E85" s="95" t="str">
        <f t="shared" ref="E85:S85" si="29" xml:space="preserve"> E$14</f>
        <v>First model column flag</v>
      </c>
      <c r="F85" s="8">
        <f t="shared" si="29"/>
        <v>0</v>
      </c>
      <c r="G85" s="8" t="str">
        <f t="shared" si="29"/>
        <v>flag</v>
      </c>
      <c r="H85" s="8">
        <f t="shared" si="29"/>
        <v>1</v>
      </c>
      <c r="I85" s="8">
        <f t="shared" si="29"/>
        <v>0</v>
      </c>
      <c r="J85" s="8">
        <f t="shared" si="29"/>
        <v>1</v>
      </c>
      <c r="K85" s="8">
        <f t="shared" si="29"/>
        <v>0</v>
      </c>
      <c r="L85" s="8">
        <f t="shared" si="29"/>
        <v>0</v>
      </c>
      <c r="M85" s="8">
        <f t="shared" si="29"/>
        <v>0</v>
      </c>
      <c r="N85" s="8">
        <f t="shared" si="29"/>
        <v>0</v>
      </c>
      <c r="O85" s="8">
        <f t="shared" si="29"/>
        <v>0</v>
      </c>
      <c r="P85" s="8">
        <f t="shared" si="29"/>
        <v>0</v>
      </c>
      <c r="Q85" s="8">
        <f t="shared" si="29"/>
        <v>0</v>
      </c>
      <c r="R85" s="8">
        <f t="shared" si="29"/>
        <v>0</v>
      </c>
      <c r="S85" s="8">
        <f t="shared" si="29"/>
        <v>0</v>
      </c>
    </row>
    <row r="86" spans="1:19">
      <c r="E86" s="95" t="s">
        <v>171</v>
      </c>
      <c r="G86" s="8" t="s">
        <v>172</v>
      </c>
      <c r="I86" s="17"/>
      <c r="J86" s="8">
        <f t="shared" ref="J86:S86" si="30" xml:space="preserve"> IF(J85 = 1, $F82, IF(J84 &gt; (DATE(I86, $F83 + 1, 1) - 1), I86 + 1, I86))</f>
        <v>2018</v>
      </c>
      <c r="K86" s="8">
        <f t="shared" si="30"/>
        <v>2019</v>
      </c>
      <c r="L86" s="8">
        <f t="shared" si="30"/>
        <v>2020</v>
      </c>
      <c r="M86" s="8">
        <f t="shared" si="30"/>
        <v>2021</v>
      </c>
      <c r="N86" s="8">
        <f t="shared" si="30"/>
        <v>2022</v>
      </c>
      <c r="O86" s="8">
        <f t="shared" si="30"/>
        <v>2023</v>
      </c>
      <c r="P86" s="8">
        <f t="shared" si="30"/>
        <v>2024</v>
      </c>
      <c r="Q86" s="8">
        <f t="shared" si="30"/>
        <v>2025</v>
      </c>
      <c r="R86" s="8">
        <f t="shared" si="30"/>
        <v>2026</v>
      </c>
      <c r="S86" s="8">
        <f t="shared" si="30"/>
        <v>2027</v>
      </c>
    </row>
    <row r="89" spans="1:19" s="1" customFormat="1">
      <c r="A89" s="14" t="s">
        <v>51</v>
      </c>
    </row>
  </sheetData>
  <conditionalFormatting sqref="F77">
    <cfRule type="cellIs" dxfId="34" priority="12" stopIfTrue="1" operator="notEqual">
      <formula>0</formula>
    </cfRule>
    <cfRule type="cellIs" dxfId="33" priority="13" stopIfTrue="1" operator="equal">
      <formula>""</formula>
    </cfRule>
  </conditionalFormatting>
  <conditionalFormatting sqref="F2">
    <cfRule type="cellIs" dxfId="32" priority="1" stopIfTrue="1" operator="notEqual">
      <formula>0</formula>
    </cfRule>
    <cfRule type="cellIs" dxfId="31" priority="2" stopIfTrue="1" operator="equal">
      <formula>""</formula>
    </cfRule>
  </conditionalFormatting>
  <conditionalFormatting sqref="J3:CA3">
    <cfRule type="cellIs" dxfId="30" priority="9" operator="equal">
      <formula>"Post-Fcst"</formula>
    </cfRule>
    <cfRule type="cellIs" dxfId="29" priority="10" operator="equal">
      <formula>"Forecast"</formula>
    </cfRule>
    <cfRule type="cellIs" dxfId="28" priority="11" operator="equal">
      <formula>"Pre Fcst"</formula>
    </cfRule>
  </conditionalFormatting>
  <printOptions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&amp;LPage &amp;P of &amp;N&amp;CSheet: &amp;A</oddHeader>
    <oddFooter>&amp;L&amp;F (Printed on &amp;D at &amp;T) 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 summaryRight="0"/>
  </sheetPr>
  <dimension ref="A1:AA200"/>
  <sheetViews>
    <sheetView zoomScaleNormal="100" workbookViewId="0">
      <pane xSplit="9" ySplit="5" topLeftCell="J69" activePane="bottomRight" state="frozen"/>
      <selection pane="topRight" sqref="A1:XFD1"/>
      <selection pane="bottomLeft" sqref="A1:XFD1"/>
      <selection pane="bottomRight" activeCell="N96" sqref="N96"/>
    </sheetView>
  </sheetViews>
  <sheetFormatPr defaultColWidth="0" defaultRowHeight="13.2"/>
  <cols>
    <col min="1" max="1" width="1.77734375" style="55" customWidth="1"/>
    <col min="2" max="2" width="1.77734375" style="64" customWidth="1"/>
    <col min="3" max="3" width="1.77734375" style="110" customWidth="1"/>
    <col min="4" max="4" width="1.77734375" style="59" customWidth="1"/>
    <col min="5" max="5" width="85.21875" style="8" bestFit="1" customWidth="1"/>
    <col min="6" max="6" width="12.77734375" style="8" customWidth="1"/>
    <col min="7" max="7" width="10.77734375" style="8" bestFit="1" customWidth="1"/>
    <col min="8" max="8" width="11.77734375" style="8" customWidth="1"/>
    <col min="9" max="9" width="2.77734375" style="8" customWidth="1"/>
    <col min="10" max="19" width="11.77734375" style="8" customWidth="1"/>
    <col min="20" max="27" width="9.21875" style="8" hidden="1" customWidth="1"/>
    <col min="28" max="16384" width="0" style="8" hidden="1"/>
  </cols>
  <sheetData>
    <row r="1" spans="1:19" s="121" customFormat="1" ht="25.2">
      <c r="A1" s="117" t="str">
        <f ca="1" xml:space="preserve"> RIGHT(CELL("filename", $A$1), LEN(CELL("filename", $A$1)) - SEARCH("]", CELL("filename", $A$1)))</f>
        <v>Calcs</v>
      </c>
      <c r="B1" s="118"/>
      <c r="C1" s="119"/>
      <c r="D1" s="120"/>
    </row>
    <row r="2" spans="1:19" s="31" customFormat="1">
      <c r="B2" s="61"/>
      <c r="C2" s="107"/>
      <c r="D2" s="56"/>
      <c r="E2" s="27" t="str">
        <f>Time!E$22</f>
        <v>Model Period END</v>
      </c>
      <c r="F2" s="32">
        <f xml:space="preserve"> Checks!$F$9</f>
        <v>0</v>
      </c>
      <c r="G2" s="27" t="s">
        <v>98</v>
      </c>
      <c r="H2" s="27"/>
      <c r="I2" s="27"/>
      <c r="J2" s="27">
        <f>Time!J$22</f>
        <v>43555</v>
      </c>
      <c r="K2" s="27">
        <f>Time!K$22</f>
        <v>43921</v>
      </c>
      <c r="L2" s="27">
        <f>Time!L$22</f>
        <v>44286</v>
      </c>
      <c r="M2" s="27">
        <f>Time!M$22</f>
        <v>44651</v>
      </c>
      <c r="N2" s="27">
        <f>Time!N$22</f>
        <v>45016</v>
      </c>
      <c r="O2" s="27">
        <f>Time!O$22</f>
        <v>45382</v>
      </c>
      <c r="P2" s="27">
        <f>Time!P$22</f>
        <v>45747</v>
      </c>
      <c r="Q2" s="27">
        <f>Time!Q$22</f>
        <v>46112</v>
      </c>
      <c r="R2" s="27">
        <f>Time!R$22</f>
        <v>46477</v>
      </c>
      <c r="S2" s="27">
        <f>Time!S$22</f>
        <v>46843</v>
      </c>
    </row>
    <row r="3" spans="1:19" s="5" customFormat="1">
      <c r="B3" s="62"/>
      <c r="C3" s="108"/>
      <c r="D3" s="57"/>
      <c r="E3" s="27" t="str">
        <f>Time!E$58</f>
        <v>Pre Forecast vs Forecast</v>
      </c>
      <c r="F3" s="27"/>
      <c r="G3" s="27"/>
      <c r="H3" s="27"/>
      <c r="I3" s="27"/>
      <c r="J3" s="27" t="str">
        <f>Time!J$58</f>
        <v>Pre Fcst</v>
      </c>
      <c r="K3" s="27" t="str">
        <f>Time!K$58</f>
        <v>Pre Fcst</v>
      </c>
      <c r="L3" s="27" t="str">
        <f>Time!L$58</f>
        <v>Forecast</v>
      </c>
      <c r="M3" s="27" t="str">
        <f>Time!M$58</f>
        <v>Forecast</v>
      </c>
      <c r="N3" s="27" t="str">
        <f>Time!N$58</f>
        <v>Forecast</v>
      </c>
      <c r="O3" s="27" t="str">
        <f>Time!O$58</f>
        <v>Forecast</v>
      </c>
      <c r="P3" s="27" t="str">
        <f>Time!P$58</f>
        <v>Forecast</v>
      </c>
      <c r="Q3" s="27" t="str">
        <f>Time!Q$58</f>
        <v>Post-Fcst</v>
      </c>
      <c r="R3" s="27" t="str">
        <f>Time!R$58</f>
        <v>Post-Fcst</v>
      </c>
      <c r="S3" s="27" t="str">
        <f>Time!S$58</f>
        <v>Post-Fcst</v>
      </c>
    </row>
    <row r="4" spans="1:19" s="28" customFormat="1">
      <c r="B4" s="63"/>
      <c r="C4" s="109"/>
      <c r="D4" s="58"/>
      <c r="E4" s="26" t="str">
        <f>Time!E$86</f>
        <v>Financial Year Ending</v>
      </c>
      <c r="F4" s="26"/>
      <c r="G4" s="26"/>
      <c r="H4" s="26"/>
      <c r="I4" s="26"/>
      <c r="J4" s="299">
        <f>Time!J$86</f>
        <v>2018</v>
      </c>
      <c r="K4" s="299">
        <f>Time!K$86</f>
        <v>2019</v>
      </c>
      <c r="L4" s="299">
        <f>Time!L$86</f>
        <v>2020</v>
      </c>
      <c r="M4" s="299">
        <f>Time!M$86</f>
        <v>2021</v>
      </c>
      <c r="N4" s="299">
        <f>Time!N$86</f>
        <v>2022</v>
      </c>
      <c r="O4" s="299">
        <f>Time!O$86</f>
        <v>2023</v>
      </c>
      <c r="P4" s="299">
        <f>Time!P$86</f>
        <v>2024</v>
      </c>
      <c r="Q4" s="299">
        <f>Time!Q$86</f>
        <v>2025</v>
      </c>
      <c r="R4" s="299">
        <f>Time!R$86</f>
        <v>2026</v>
      </c>
      <c r="S4" s="299">
        <f>Time!S$86</f>
        <v>2027</v>
      </c>
    </row>
    <row r="5" spans="1:19" s="28" customFormat="1">
      <c r="B5" s="63"/>
      <c r="C5" s="109"/>
      <c r="D5" s="58"/>
      <c r="E5" s="26" t="str">
        <f>Time!E$10</f>
        <v>Model column counter</v>
      </c>
      <c r="F5" s="5" t="s">
        <v>99</v>
      </c>
      <c r="G5" s="5" t="s">
        <v>100</v>
      </c>
      <c r="H5" s="5" t="s">
        <v>101</v>
      </c>
      <c r="I5" s="26"/>
      <c r="J5" s="26">
        <f>Time!J$10</f>
        <v>1</v>
      </c>
      <c r="K5" s="26">
        <f>Time!K$10</f>
        <v>2</v>
      </c>
      <c r="L5" s="26">
        <f>Time!L$10</f>
        <v>3</v>
      </c>
      <c r="M5" s="26">
        <f>Time!M$10</f>
        <v>4</v>
      </c>
      <c r="N5" s="26">
        <f>Time!N$10</f>
        <v>5</v>
      </c>
      <c r="O5" s="26">
        <f>Time!O$10</f>
        <v>6</v>
      </c>
      <c r="P5" s="26">
        <f>Time!P$10</f>
        <v>7</v>
      </c>
      <c r="Q5" s="26">
        <f>Time!Q$10</f>
        <v>8</v>
      </c>
      <c r="R5" s="26">
        <f>Time!R$10</f>
        <v>9</v>
      </c>
      <c r="S5" s="26">
        <f>Time!S$10</f>
        <v>10</v>
      </c>
    </row>
    <row r="7" spans="1:19" s="50" customFormat="1">
      <c r="A7" s="54" t="s">
        <v>173</v>
      </c>
      <c r="B7" s="64"/>
      <c r="C7" s="110"/>
      <c r="D7" s="60"/>
    </row>
    <row r="8" spans="1:19" s="50" customFormat="1">
      <c r="A8" s="54"/>
      <c r="B8" s="64"/>
      <c r="C8" s="110"/>
      <c r="D8" s="60"/>
      <c r="E8" s="156" t="str">
        <f xml:space="preserve"> Inputs!E$105</f>
        <v xml:space="preserve">FD MODEL INPUTS - Tax WR - real </v>
      </c>
      <c r="F8" s="157">
        <f xml:space="preserve"> Inputs!F$105</f>
        <v>0</v>
      </c>
      <c r="G8" s="157" t="str">
        <f xml:space="preserve"> Inputs!G$105</f>
        <v>£m</v>
      </c>
      <c r="H8" s="157">
        <f xml:space="preserve"> Inputs!H$105</f>
        <v>9.5374348864663112</v>
      </c>
      <c r="I8" s="157">
        <f xml:space="preserve"> Inputs!I$105</f>
        <v>0</v>
      </c>
      <c r="J8" s="157">
        <f xml:space="preserve"> Inputs!J$105</f>
        <v>0</v>
      </c>
      <c r="K8" s="157">
        <f xml:space="preserve"> Inputs!K$105</f>
        <v>0</v>
      </c>
      <c r="L8" s="157">
        <f xml:space="preserve"> Inputs!L$105</f>
        <v>1.5404811939049154</v>
      </c>
      <c r="M8" s="157">
        <f xml:space="preserve"> Inputs!M$105</f>
        <v>1.8486445830706861</v>
      </c>
      <c r="N8" s="157">
        <f xml:space="preserve"> Inputs!N$105</f>
        <v>1.8545952566945054</v>
      </c>
      <c r="O8" s="157">
        <f xml:space="preserve"> Inputs!O$105</f>
        <v>1.9762038542161282</v>
      </c>
      <c r="P8" s="157">
        <f xml:space="preserve"> Inputs!P$105</f>
        <v>2.3175099985800767</v>
      </c>
      <c r="Q8" s="157">
        <f xml:space="preserve"> Inputs!Q$105</f>
        <v>0</v>
      </c>
      <c r="R8" s="157">
        <f xml:space="preserve"> Inputs!R$105</f>
        <v>0</v>
      </c>
      <c r="S8" s="157">
        <f xml:space="preserve"> Inputs!S$105</f>
        <v>0</v>
      </c>
    </row>
    <row r="9" spans="1:19" s="50" customFormat="1">
      <c r="A9" s="54"/>
      <c r="B9" s="64"/>
      <c r="C9" s="110"/>
      <c r="D9" s="60"/>
      <c r="E9" s="156" t="str">
        <f xml:space="preserve"> Inputs!E$106</f>
        <v xml:space="preserve">FD MODEL INPUTS - Tax WN - real </v>
      </c>
      <c r="F9" s="157">
        <f xml:space="preserve"> Inputs!F$106</f>
        <v>0</v>
      </c>
      <c r="G9" s="157" t="str">
        <f xml:space="preserve"> Inputs!G$106</f>
        <v>£m</v>
      </c>
      <c r="H9" s="157">
        <f xml:space="preserve"> Inputs!H$106</f>
        <v>76.921444130660348</v>
      </c>
      <c r="I9" s="157">
        <f xml:space="preserve"> Inputs!I$106</f>
        <v>0</v>
      </c>
      <c r="J9" s="157">
        <f xml:space="preserve"> Inputs!J$106</f>
        <v>0</v>
      </c>
      <c r="K9" s="157">
        <f xml:space="preserve"> Inputs!K$106</f>
        <v>0</v>
      </c>
      <c r="L9" s="157">
        <f xml:space="preserve"> Inputs!L$106</f>
        <v>12.177126500611541</v>
      </c>
      <c r="M9" s="157">
        <f xml:space="preserve"> Inputs!M$106</f>
        <v>13.599701491423064</v>
      </c>
      <c r="N9" s="157">
        <f xml:space="preserve"> Inputs!N$106</f>
        <v>14.458389356724092</v>
      </c>
      <c r="O9" s="157">
        <f xml:space="preserve"> Inputs!O$106</f>
        <v>17.017370831840324</v>
      </c>
      <c r="P9" s="157">
        <f xml:space="preserve"> Inputs!P$106</f>
        <v>19.668855950061321</v>
      </c>
      <c r="Q9" s="157">
        <f xml:space="preserve"> Inputs!Q$106</f>
        <v>0</v>
      </c>
      <c r="R9" s="157">
        <f xml:space="preserve"> Inputs!R$106</f>
        <v>0</v>
      </c>
      <c r="S9" s="157">
        <f xml:space="preserve"> Inputs!S$106</f>
        <v>0</v>
      </c>
    </row>
    <row r="10" spans="1:19" s="50" customFormat="1">
      <c r="A10" s="54"/>
      <c r="B10" s="64"/>
      <c r="C10" s="110"/>
      <c r="D10" s="60"/>
      <c r="E10" s="156" t="str">
        <f xml:space="preserve"> Inputs!E$107</f>
        <v>FD MODEL INPUTS - Tax WWN - real</v>
      </c>
      <c r="F10" s="157">
        <f xml:space="preserve"> Inputs!F$107</f>
        <v>0</v>
      </c>
      <c r="G10" s="157" t="str">
        <f xml:space="preserve"> Inputs!G$107</f>
        <v>£m</v>
      </c>
      <c r="H10" s="157">
        <f xml:space="preserve"> Inputs!H$107</f>
        <v>106.93305961760599</v>
      </c>
      <c r="I10" s="157">
        <f xml:space="preserve"> Inputs!I$107</f>
        <v>0</v>
      </c>
      <c r="J10" s="157">
        <f xml:space="preserve"> Inputs!J$107</f>
        <v>0</v>
      </c>
      <c r="K10" s="157">
        <f xml:space="preserve"> Inputs!K$107</f>
        <v>0</v>
      </c>
      <c r="L10" s="157">
        <f xml:space="preserve"> Inputs!L$107</f>
        <v>20.901302782585084</v>
      </c>
      <c r="M10" s="157">
        <f xml:space="preserve"> Inputs!M$107</f>
        <v>20.438783385729554</v>
      </c>
      <c r="N10" s="157">
        <f xml:space="preserve"> Inputs!N$107</f>
        <v>22.780014153949708</v>
      </c>
      <c r="O10" s="157">
        <f xml:space="preserve"> Inputs!O$107</f>
        <v>20.704574718699376</v>
      </c>
      <c r="P10" s="157">
        <f xml:space="preserve"> Inputs!P$107</f>
        <v>22.108384576642262</v>
      </c>
      <c r="Q10" s="157">
        <f xml:space="preserve"> Inputs!Q$107</f>
        <v>0</v>
      </c>
      <c r="R10" s="157">
        <f xml:space="preserve"> Inputs!R$107</f>
        <v>0</v>
      </c>
      <c r="S10" s="157">
        <f xml:space="preserve"> Inputs!S$107</f>
        <v>0</v>
      </c>
    </row>
    <row r="11" spans="1:19" s="50" customFormat="1">
      <c r="A11" s="54"/>
      <c r="B11" s="64"/>
      <c r="C11" s="110"/>
      <c r="D11" s="60"/>
      <c r="E11" s="156" t="str">
        <f xml:space="preserve"> Inputs!E$108</f>
        <v>FD MODEL INPUTS - Tax BR - real</v>
      </c>
      <c r="F11" s="157">
        <f xml:space="preserve"> Inputs!F$108</f>
        <v>0</v>
      </c>
      <c r="G11" s="157" t="str">
        <f xml:space="preserve"> Inputs!G$108</f>
        <v>£m</v>
      </c>
      <c r="H11" s="157">
        <f xml:space="preserve"> Inputs!H$108</f>
        <v>17.948444727812358</v>
      </c>
      <c r="I11" s="157">
        <f xml:space="preserve"> Inputs!I$108</f>
        <v>0</v>
      </c>
      <c r="J11" s="157">
        <f xml:space="preserve"> Inputs!J$108</f>
        <v>0</v>
      </c>
      <c r="K11" s="157">
        <f xml:space="preserve"> Inputs!K$108</f>
        <v>0</v>
      </c>
      <c r="L11" s="157">
        <f xml:space="preserve"> Inputs!L$108</f>
        <v>3.0036991449634169</v>
      </c>
      <c r="M11" s="157">
        <f xml:space="preserve"> Inputs!M$108</f>
        <v>3.1270736658159302</v>
      </c>
      <c r="N11" s="157">
        <f xml:space="preserve"> Inputs!N$108</f>
        <v>3.4856855541498515</v>
      </c>
      <c r="O11" s="157">
        <f xml:space="preserve"> Inputs!O$108</f>
        <v>3.9673982617536954</v>
      </c>
      <c r="P11" s="157">
        <f xml:space="preserve"> Inputs!P$108</f>
        <v>4.3645881011294652</v>
      </c>
      <c r="Q11" s="157">
        <f xml:space="preserve"> Inputs!Q$108</f>
        <v>0</v>
      </c>
      <c r="R11" s="157">
        <f xml:space="preserve"> Inputs!R$108</f>
        <v>0</v>
      </c>
      <c r="S11" s="157">
        <f xml:space="preserve"> Inputs!S$108</f>
        <v>0</v>
      </c>
    </row>
    <row r="12" spans="1:19" s="50" customFormat="1">
      <c r="A12" s="54"/>
      <c r="B12" s="64"/>
      <c r="C12" s="110"/>
      <c r="D12" s="60"/>
      <c r="E12" s="156" t="str">
        <f xml:space="preserve"> Inputs!E$109</f>
        <v>FD MODEL INPUTS - Tax DMMY - real</v>
      </c>
      <c r="F12" s="157">
        <f xml:space="preserve"> Inputs!F$109</f>
        <v>0</v>
      </c>
      <c r="G12" s="157" t="str">
        <f xml:space="preserve"> Inputs!G$109</f>
        <v>£m</v>
      </c>
      <c r="H12" s="157">
        <f xml:space="preserve"> Inputs!H$109</f>
        <v>0</v>
      </c>
      <c r="I12" s="157">
        <f xml:space="preserve"> Inputs!I$109</f>
        <v>0</v>
      </c>
      <c r="J12" s="157">
        <f xml:space="preserve"> Inputs!J$109</f>
        <v>0</v>
      </c>
      <c r="K12" s="157">
        <f xml:space="preserve"> Inputs!K$109</f>
        <v>0</v>
      </c>
      <c r="L12" s="157">
        <f xml:space="preserve"> Inputs!L$109</f>
        <v>0</v>
      </c>
      <c r="M12" s="157">
        <f xml:space="preserve"> Inputs!M$109</f>
        <v>0</v>
      </c>
      <c r="N12" s="157">
        <f xml:space="preserve"> Inputs!N$109</f>
        <v>0</v>
      </c>
      <c r="O12" s="157">
        <f xml:space="preserve"> Inputs!O$109</f>
        <v>0</v>
      </c>
      <c r="P12" s="157">
        <f xml:space="preserve"> Inputs!P$109</f>
        <v>0</v>
      </c>
      <c r="Q12" s="157">
        <f xml:space="preserve"> Inputs!Q$109</f>
        <v>0</v>
      </c>
      <c r="R12" s="157">
        <f xml:space="preserve"> Inputs!R$109</f>
        <v>0</v>
      </c>
      <c r="S12" s="157">
        <f xml:space="preserve"> Inputs!S$109</f>
        <v>0</v>
      </c>
    </row>
    <row r="13" spans="1:19" s="50" customFormat="1">
      <c r="A13" s="54"/>
      <c r="B13" s="64"/>
      <c r="C13" s="110"/>
      <c r="D13" s="60"/>
      <c r="E13" s="156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</row>
    <row r="14" spans="1:19" s="50" customFormat="1">
      <c r="A14" s="54"/>
      <c r="B14" s="64"/>
      <c r="C14" s="110"/>
      <c r="D14" s="60"/>
      <c r="E14" s="159" t="str">
        <f xml:space="preserve"> Inputs!E$231</f>
        <v xml:space="preserve">NEW MODEL INPUTS - Tax WR - real </v>
      </c>
      <c r="F14" s="153">
        <f xml:space="preserve"> Inputs!F$231</f>
        <v>0</v>
      </c>
      <c r="G14" s="153" t="str">
        <f xml:space="preserve"> Inputs!G$231</f>
        <v>£m</v>
      </c>
      <c r="H14" s="153">
        <f xml:space="preserve"> Inputs!H$231</f>
        <v>4.1351381239924825</v>
      </c>
      <c r="I14" s="153">
        <f xml:space="preserve"> Inputs!I$231</f>
        <v>0</v>
      </c>
      <c r="J14" s="153">
        <f xml:space="preserve"> Inputs!J$231</f>
        <v>0</v>
      </c>
      <c r="K14" s="153">
        <f xml:space="preserve"> Inputs!K$231</f>
        <v>0</v>
      </c>
      <c r="L14" s="153">
        <f xml:space="preserve"> Inputs!L$231</f>
        <v>1.4989174213339747</v>
      </c>
      <c r="M14" s="153">
        <f xml:space="preserve"> Inputs!M$231</f>
        <v>1.2600654419435358</v>
      </c>
      <c r="N14" s="153">
        <f xml:space="preserve"> Inputs!N$231</f>
        <v>1.0098436876959214</v>
      </c>
      <c r="O14" s="153">
        <f xml:space="preserve"> Inputs!O$231</f>
        <v>0</v>
      </c>
      <c r="P14" s="153">
        <f xml:space="preserve"> Inputs!P$231</f>
        <v>0.36631157301905076</v>
      </c>
      <c r="Q14" s="153">
        <f xml:space="preserve"> Inputs!Q$231</f>
        <v>0</v>
      </c>
      <c r="R14" s="153">
        <f xml:space="preserve"> Inputs!R$231</f>
        <v>0</v>
      </c>
      <c r="S14" s="153">
        <f xml:space="preserve"> Inputs!S$231</f>
        <v>0</v>
      </c>
    </row>
    <row r="15" spans="1:19" s="50" customFormat="1">
      <c r="A15" s="54"/>
      <c r="B15" s="64"/>
      <c r="C15" s="110"/>
      <c r="D15" s="60"/>
      <c r="E15" s="159" t="str">
        <f xml:space="preserve"> Inputs!E$232</f>
        <v xml:space="preserve">NEW MODEL INPUTS - Tax WN - real </v>
      </c>
      <c r="F15" s="153">
        <f xml:space="preserve"> Inputs!F$232</f>
        <v>0</v>
      </c>
      <c r="G15" s="153" t="str">
        <f xml:space="preserve"> Inputs!G$232</f>
        <v>£m</v>
      </c>
      <c r="H15" s="153">
        <f xml:space="preserve"> Inputs!H$232</f>
        <v>31.68857081571004</v>
      </c>
      <c r="I15" s="153">
        <f xml:space="preserve"> Inputs!I$232</f>
        <v>0</v>
      </c>
      <c r="J15" s="153">
        <f xml:space="preserve"> Inputs!J$232</f>
        <v>0</v>
      </c>
      <c r="K15" s="153">
        <f xml:space="preserve"> Inputs!K$232</f>
        <v>0</v>
      </c>
      <c r="L15" s="153">
        <f xml:space="preserve"> Inputs!L$232</f>
        <v>12.418768160914885</v>
      </c>
      <c r="M15" s="153">
        <f xml:space="preserve"> Inputs!M$232</f>
        <v>5.0798047699699946</v>
      </c>
      <c r="N15" s="153">
        <f xml:space="preserve"> Inputs!N$232</f>
        <v>7.2937872855977233</v>
      </c>
      <c r="O15" s="153">
        <f xml:space="preserve"> Inputs!O$232</f>
        <v>0</v>
      </c>
      <c r="P15" s="153">
        <f xml:space="preserve"> Inputs!P$232</f>
        <v>6.8962105992274374</v>
      </c>
      <c r="Q15" s="153">
        <f xml:space="preserve"> Inputs!Q$232</f>
        <v>0</v>
      </c>
      <c r="R15" s="153">
        <f xml:space="preserve"> Inputs!R$232</f>
        <v>0</v>
      </c>
      <c r="S15" s="153">
        <f xml:space="preserve"> Inputs!S$232</f>
        <v>0</v>
      </c>
    </row>
    <row r="16" spans="1:19" s="50" customFormat="1">
      <c r="A16" s="54"/>
      <c r="B16" s="64"/>
      <c r="C16" s="110"/>
      <c r="D16" s="60"/>
      <c r="E16" s="159" t="str">
        <f xml:space="preserve"> Inputs!E$233</f>
        <v>NEW MODEL INPUTS - Tax WWN - real</v>
      </c>
      <c r="F16" s="153">
        <f xml:space="preserve"> Inputs!F$233</f>
        <v>0</v>
      </c>
      <c r="G16" s="153" t="str">
        <f xml:space="preserve"> Inputs!G$233</f>
        <v>£m</v>
      </c>
      <c r="H16" s="153">
        <f xml:space="preserve"> Inputs!H$233</f>
        <v>41.708208616403681</v>
      </c>
      <c r="I16" s="153">
        <f xml:space="preserve"> Inputs!I$233</f>
        <v>0</v>
      </c>
      <c r="J16" s="153">
        <f xml:space="preserve"> Inputs!J$233</f>
        <v>0</v>
      </c>
      <c r="K16" s="153">
        <f xml:space="preserve"> Inputs!K$233</f>
        <v>0</v>
      </c>
      <c r="L16" s="153">
        <f xml:space="preserve"> Inputs!L$233</f>
        <v>20.948115137228623</v>
      </c>
      <c r="M16" s="153">
        <f xml:space="preserve"> Inputs!M$233</f>
        <v>6.7855651521829072</v>
      </c>
      <c r="N16" s="153">
        <f xml:space="preserve"> Inputs!N$233</f>
        <v>13.974528326992152</v>
      </c>
      <c r="O16" s="153">
        <f xml:space="preserve"> Inputs!O$233</f>
        <v>0</v>
      </c>
      <c r="P16" s="153">
        <f xml:space="preserve"> Inputs!P$233</f>
        <v>0</v>
      </c>
      <c r="Q16" s="153">
        <f xml:space="preserve"> Inputs!Q$233</f>
        <v>0</v>
      </c>
      <c r="R16" s="153">
        <f xml:space="preserve"> Inputs!R$233</f>
        <v>0</v>
      </c>
      <c r="S16" s="153">
        <f xml:space="preserve"> Inputs!S$233</f>
        <v>0</v>
      </c>
    </row>
    <row r="17" spans="1:19" s="50" customFormat="1">
      <c r="A17" s="54"/>
      <c r="B17" s="64"/>
      <c r="C17" s="110"/>
      <c r="D17" s="60"/>
      <c r="E17" s="159" t="str">
        <f xml:space="preserve"> Inputs!E$234</f>
        <v>NEW MODEL INPUTS - Tax BR - real</v>
      </c>
      <c r="F17" s="153">
        <f xml:space="preserve"> Inputs!F$234</f>
        <v>0</v>
      </c>
      <c r="G17" s="153" t="str">
        <f xml:space="preserve"> Inputs!G$234</f>
        <v>£m</v>
      </c>
      <c r="H17" s="153">
        <f xml:space="preserve"> Inputs!H$234</f>
        <v>6.0377158432721343</v>
      </c>
      <c r="I17" s="153">
        <f xml:space="preserve"> Inputs!I$234</f>
        <v>0</v>
      </c>
      <c r="J17" s="153">
        <f xml:space="preserve"> Inputs!J$234</f>
        <v>0</v>
      </c>
      <c r="K17" s="153">
        <f xml:space="preserve"> Inputs!K$234</f>
        <v>0</v>
      </c>
      <c r="L17" s="153">
        <f xml:space="preserve"> Inputs!L$234</f>
        <v>3.2514452083484793</v>
      </c>
      <c r="M17" s="153">
        <f xml:space="preserve"> Inputs!M$234</f>
        <v>0.45591470755641184</v>
      </c>
      <c r="N17" s="153">
        <f xml:space="preserve"> Inputs!N$234</f>
        <v>1.5163311143949088</v>
      </c>
      <c r="O17" s="153">
        <f xml:space="preserve"> Inputs!O$234</f>
        <v>0</v>
      </c>
      <c r="P17" s="153">
        <f xml:space="preserve"> Inputs!P$234</f>
        <v>0.81402481297233453</v>
      </c>
      <c r="Q17" s="153">
        <f xml:space="preserve"> Inputs!Q$234</f>
        <v>0</v>
      </c>
      <c r="R17" s="153">
        <f xml:space="preserve"> Inputs!R$234</f>
        <v>0</v>
      </c>
      <c r="S17" s="153">
        <f xml:space="preserve"> Inputs!S$234</f>
        <v>0</v>
      </c>
    </row>
    <row r="18" spans="1:19" s="50" customFormat="1">
      <c r="A18" s="54"/>
      <c r="B18" s="64"/>
      <c r="C18" s="110"/>
      <c r="D18" s="60"/>
      <c r="E18" s="159" t="str">
        <f xml:space="preserve"> Inputs!E$235</f>
        <v>NEW MODEL INPUTS - Tax DMMY - real</v>
      </c>
      <c r="F18" s="153">
        <f xml:space="preserve"> Inputs!F$235</f>
        <v>0</v>
      </c>
      <c r="G18" s="153" t="str">
        <f xml:space="preserve"> Inputs!G$235</f>
        <v>£m</v>
      </c>
      <c r="H18" s="153">
        <f xml:space="preserve"> Inputs!H$235</f>
        <v>0</v>
      </c>
      <c r="I18" s="153">
        <f xml:space="preserve"> Inputs!I$235</f>
        <v>0</v>
      </c>
      <c r="J18" s="153">
        <f xml:space="preserve"> Inputs!J$235</f>
        <v>0</v>
      </c>
      <c r="K18" s="153">
        <f xml:space="preserve"> Inputs!K$235</f>
        <v>0</v>
      </c>
      <c r="L18" s="153">
        <f xml:space="preserve"> Inputs!L$235</f>
        <v>0</v>
      </c>
      <c r="M18" s="153">
        <f xml:space="preserve"> Inputs!M$235</f>
        <v>0</v>
      </c>
      <c r="N18" s="153">
        <f xml:space="preserve"> Inputs!N$235</f>
        <v>0</v>
      </c>
      <c r="O18" s="153">
        <f xml:space="preserve"> Inputs!O$235</f>
        <v>0</v>
      </c>
      <c r="P18" s="153">
        <f xml:space="preserve"> Inputs!P$235</f>
        <v>0</v>
      </c>
      <c r="Q18" s="153">
        <f xml:space="preserve"> Inputs!Q$235</f>
        <v>0</v>
      </c>
      <c r="R18" s="153">
        <f xml:space="preserve"> Inputs!R$235</f>
        <v>0</v>
      </c>
      <c r="S18" s="153">
        <f xml:space="preserve"> Inputs!S$235</f>
        <v>0</v>
      </c>
    </row>
    <row r="19" spans="1:19" s="50" customFormat="1">
      <c r="A19" s="54"/>
      <c r="B19" s="64"/>
      <c r="C19" s="110"/>
      <c r="D19" s="60"/>
    </row>
    <row r="20" spans="1:19" s="50" customFormat="1">
      <c r="A20" s="54"/>
      <c r="B20" s="64"/>
      <c r="C20" s="110"/>
      <c r="D20" s="60"/>
      <c r="E20" s="50" t="s">
        <v>174</v>
      </c>
      <c r="G20" s="50" t="s">
        <v>129</v>
      </c>
      <c r="H20" s="160">
        <f>SUM(J20:S20)</f>
        <v>-5.4022967624738296</v>
      </c>
      <c r="J20" s="160">
        <f>J14-J8</f>
        <v>0</v>
      </c>
      <c r="K20" s="160">
        <f t="shared" ref="K20:S20" si="0">K14-K8</f>
        <v>0</v>
      </c>
      <c r="L20" s="160">
        <f t="shared" si="0"/>
        <v>-4.1563772570940793E-2</v>
      </c>
      <c r="M20" s="160">
        <f t="shared" si="0"/>
        <v>-0.58857914112715037</v>
      </c>
      <c r="N20" s="160">
        <f t="shared" si="0"/>
        <v>-0.84475156899858406</v>
      </c>
      <c r="O20" s="160">
        <f t="shared" si="0"/>
        <v>-1.9762038542161282</v>
      </c>
      <c r="P20" s="160">
        <f t="shared" si="0"/>
        <v>-1.951198425561026</v>
      </c>
      <c r="Q20" s="160">
        <f t="shared" si="0"/>
        <v>0</v>
      </c>
      <c r="R20" s="160">
        <f t="shared" si="0"/>
        <v>0</v>
      </c>
      <c r="S20" s="160">
        <f t="shared" si="0"/>
        <v>0</v>
      </c>
    </row>
    <row r="21" spans="1:19" s="50" customFormat="1">
      <c r="A21" s="54"/>
      <c r="B21" s="64"/>
      <c r="C21" s="110"/>
      <c r="D21" s="60"/>
      <c r="E21" s="50" t="s">
        <v>175</v>
      </c>
      <c r="G21" s="50" t="s">
        <v>129</v>
      </c>
      <c r="H21" s="160">
        <f>SUM(J21:S21)</f>
        <v>-45.232873314950304</v>
      </c>
      <c r="J21" s="160">
        <f t="shared" ref="J21:S21" si="1">J15-J9</f>
        <v>0</v>
      </c>
      <c r="K21" s="160">
        <f t="shared" si="1"/>
        <v>0</v>
      </c>
      <c r="L21" s="160">
        <f t="shared" si="1"/>
        <v>0.241641660303344</v>
      </c>
      <c r="M21" s="160">
        <f t="shared" si="1"/>
        <v>-8.519896721453069</v>
      </c>
      <c r="N21" s="160">
        <f t="shared" si="1"/>
        <v>-7.1646020711263692</v>
      </c>
      <c r="O21" s="160">
        <f t="shared" si="1"/>
        <v>-17.017370831840324</v>
      </c>
      <c r="P21" s="160">
        <f t="shared" si="1"/>
        <v>-12.772645350833884</v>
      </c>
      <c r="Q21" s="160">
        <f t="shared" si="1"/>
        <v>0</v>
      </c>
      <c r="R21" s="160">
        <f t="shared" si="1"/>
        <v>0</v>
      </c>
      <c r="S21" s="160">
        <f t="shared" si="1"/>
        <v>0</v>
      </c>
    </row>
    <row r="22" spans="1:19" s="50" customFormat="1">
      <c r="A22" s="54"/>
      <c r="B22" s="64"/>
      <c r="C22" s="110"/>
      <c r="D22" s="60"/>
      <c r="E22" s="50" t="s">
        <v>176</v>
      </c>
      <c r="G22" s="50" t="s">
        <v>129</v>
      </c>
      <c r="H22" s="160">
        <f>SUM(J22:S22)</f>
        <v>-65.224851001202296</v>
      </c>
      <c r="J22" s="160">
        <f t="shared" ref="J22:S22" si="2">J16-J10</f>
        <v>0</v>
      </c>
      <c r="K22" s="160">
        <f t="shared" si="2"/>
        <v>0</v>
      </c>
      <c r="L22" s="160">
        <f t="shared" si="2"/>
        <v>4.6812354643538612E-2</v>
      </c>
      <c r="M22" s="160">
        <f t="shared" si="2"/>
        <v>-13.653218233546646</v>
      </c>
      <c r="N22" s="160">
        <f t="shared" si="2"/>
        <v>-8.8054858269575558</v>
      </c>
      <c r="O22" s="160">
        <f t="shared" si="2"/>
        <v>-20.704574718699376</v>
      </c>
      <c r="P22" s="160">
        <f t="shared" si="2"/>
        <v>-22.108384576642262</v>
      </c>
      <c r="Q22" s="160">
        <f t="shared" si="2"/>
        <v>0</v>
      </c>
      <c r="R22" s="160">
        <f t="shared" si="2"/>
        <v>0</v>
      </c>
      <c r="S22" s="160">
        <f t="shared" si="2"/>
        <v>0</v>
      </c>
    </row>
    <row r="23" spans="1:19" s="50" customFormat="1">
      <c r="A23" s="54"/>
      <c r="B23" s="64"/>
      <c r="C23" s="110"/>
      <c r="D23" s="60"/>
      <c r="E23" s="50" t="s">
        <v>177</v>
      </c>
      <c r="G23" s="50" t="s">
        <v>129</v>
      </c>
      <c r="H23" s="160">
        <f>SUM(J23:S23)</f>
        <v>-11.910728884540225</v>
      </c>
      <c r="J23" s="160">
        <f t="shared" ref="J23:S23" si="3">J17-J11</f>
        <v>0</v>
      </c>
      <c r="K23" s="160">
        <f t="shared" si="3"/>
        <v>0</v>
      </c>
      <c r="L23" s="160">
        <f t="shared" si="3"/>
        <v>0.24774606338506233</v>
      </c>
      <c r="M23" s="160">
        <f t="shared" si="3"/>
        <v>-2.6711589582595181</v>
      </c>
      <c r="N23" s="160">
        <f t="shared" si="3"/>
        <v>-1.9693544397549427</v>
      </c>
      <c r="O23" s="160">
        <f t="shared" si="3"/>
        <v>-3.9673982617536954</v>
      </c>
      <c r="P23" s="160">
        <f t="shared" si="3"/>
        <v>-3.5505632881571305</v>
      </c>
      <c r="Q23" s="160">
        <f t="shared" si="3"/>
        <v>0</v>
      </c>
      <c r="R23" s="160">
        <f t="shared" si="3"/>
        <v>0</v>
      </c>
      <c r="S23" s="160">
        <f t="shared" si="3"/>
        <v>0</v>
      </c>
    </row>
    <row r="24" spans="1:19" s="50" customFormat="1">
      <c r="A24" s="54"/>
      <c r="B24" s="64"/>
      <c r="C24" s="110"/>
      <c r="D24" s="60"/>
      <c r="E24" s="50" t="s">
        <v>178</v>
      </c>
      <c r="G24" s="50" t="s">
        <v>129</v>
      </c>
      <c r="H24" s="160">
        <f>SUM(J24:S24)</f>
        <v>0</v>
      </c>
      <c r="J24" s="160">
        <f t="shared" ref="J24:S24" si="4">J18-J12</f>
        <v>0</v>
      </c>
      <c r="K24" s="160">
        <f t="shared" si="4"/>
        <v>0</v>
      </c>
      <c r="L24" s="160">
        <f t="shared" si="4"/>
        <v>0</v>
      </c>
      <c r="M24" s="160">
        <f t="shared" si="4"/>
        <v>0</v>
      </c>
      <c r="N24" s="160">
        <f t="shared" si="4"/>
        <v>0</v>
      </c>
      <c r="O24" s="160">
        <f t="shared" si="4"/>
        <v>0</v>
      </c>
      <c r="P24" s="160">
        <f t="shared" si="4"/>
        <v>0</v>
      </c>
      <c r="Q24" s="160">
        <f t="shared" si="4"/>
        <v>0</v>
      </c>
      <c r="R24" s="160">
        <f t="shared" si="4"/>
        <v>0</v>
      </c>
      <c r="S24" s="160">
        <f t="shared" si="4"/>
        <v>0</v>
      </c>
    </row>
    <row r="25" spans="1:19" s="50" customFormat="1">
      <c r="A25" s="54"/>
      <c r="B25" s="64"/>
      <c r="C25" s="110"/>
      <c r="D25" s="60"/>
      <c r="H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</row>
    <row r="26" spans="1:19" s="50" customFormat="1">
      <c r="A26" s="54" t="s">
        <v>179</v>
      </c>
      <c r="B26" s="64"/>
      <c r="C26" s="110"/>
      <c r="D26" s="60"/>
      <c r="H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</row>
    <row r="27" spans="1:19" s="50" customFormat="1">
      <c r="A27" s="54"/>
      <c r="B27" s="64"/>
      <c r="C27" s="110"/>
      <c r="D27" s="60"/>
      <c r="H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</row>
    <row r="28" spans="1:19" s="50" customFormat="1">
      <c r="A28" s="54"/>
      <c r="B28" s="64"/>
      <c r="C28" s="110"/>
      <c r="D28" s="60"/>
      <c r="E28" s="175" t="str">
        <f xml:space="preserve"> Inputs!E$155</f>
        <v>FD MODEL INPUTS - Water resources - Totex (+ or -) Value Chosen - active - adjusted - real</v>
      </c>
      <c r="F28" s="175">
        <f xml:space="preserve"> Inputs!F$155</f>
        <v>0</v>
      </c>
      <c r="G28" s="175" t="str">
        <f xml:space="preserve"> Inputs!G$155</f>
        <v>£m</v>
      </c>
      <c r="H28" s="175">
        <f xml:space="preserve"> Inputs!H$155</f>
        <v>0</v>
      </c>
      <c r="I28" s="175">
        <f xml:space="preserve"> Inputs!I$155</f>
        <v>0</v>
      </c>
      <c r="J28" s="175">
        <f xml:space="preserve"> Inputs!J$155</f>
        <v>0</v>
      </c>
      <c r="K28" s="175">
        <f xml:space="preserve"> Inputs!K$155</f>
        <v>0</v>
      </c>
      <c r="L28" s="175">
        <f xml:space="preserve"> Inputs!L$155</f>
        <v>0</v>
      </c>
      <c r="M28" s="175">
        <f xml:space="preserve"> Inputs!M$155</f>
        <v>0</v>
      </c>
      <c r="N28" s="175">
        <f xml:space="preserve"> Inputs!N$155</f>
        <v>0</v>
      </c>
      <c r="O28" s="175">
        <f xml:space="preserve"> Inputs!O$155</f>
        <v>0</v>
      </c>
      <c r="P28" s="175">
        <f xml:space="preserve"> Inputs!P$155</f>
        <v>0</v>
      </c>
      <c r="Q28" s="175">
        <f xml:space="preserve"> Inputs!Q$155</f>
        <v>0</v>
      </c>
      <c r="R28" s="175">
        <f xml:space="preserve"> Inputs!R$155</f>
        <v>0</v>
      </c>
      <c r="S28" s="175">
        <f xml:space="preserve"> Inputs!S$155</f>
        <v>0</v>
      </c>
    </row>
    <row r="29" spans="1:19" s="50" customFormat="1">
      <c r="A29" s="54"/>
      <c r="B29" s="64"/>
      <c r="C29" s="110"/>
      <c r="D29" s="60"/>
      <c r="E29" s="175" t="str">
        <f xml:space="preserve"> Inputs!E$156</f>
        <v>FD MODEL INPUTS - Water network - Totex (+ or -) Value Chosen - active - adjusted - real</v>
      </c>
      <c r="F29" s="175">
        <f xml:space="preserve"> Inputs!F$156</f>
        <v>0</v>
      </c>
      <c r="G29" s="175" t="str">
        <f xml:space="preserve"> Inputs!G$156</f>
        <v>£m</v>
      </c>
      <c r="H29" s="175">
        <f xml:space="preserve"> Inputs!H$156</f>
        <v>43.588459437050524</v>
      </c>
      <c r="I29" s="175">
        <f xml:space="preserve"> Inputs!I$156</f>
        <v>0</v>
      </c>
      <c r="J29" s="175">
        <f xml:space="preserve"> Inputs!J$156</f>
        <v>0</v>
      </c>
      <c r="K29" s="175">
        <f xml:space="preserve"> Inputs!K$156</f>
        <v>0</v>
      </c>
      <c r="L29" s="175">
        <f xml:space="preserve"> Inputs!L$156</f>
        <v>8.7176918874101048</v>
      </c>
      <c r="M29" s="175">
        <f xml:space="preserve"> Inputs!M$156</f>
        <v>8.7176918874101048</v>
      </c>
      <c r="N29" s="175">
        <f xml:space="preserve"> Inputs!N$156</f>
        <v>8.7176918874101048</v>
      </c>
      <c r="O29" s="175">
        <f xml:space="preserve"> Inputs!O$156</f>
        <v>8.7176918874101048</v>
      </c>
      <c r="P29" s="175">
        <f xml:space="preserve"> Inputs!P$156</f>
        <v>8.7176918874101048</v>
      </c>
      <c r="Q29" s="175">
        <f xml:space="preserve"> Inputs!Q$156</f>
        <v>0</v>
      </c>
      <c r="R29" s="175">
        <f xml:space="preserve"> Inputs!R$156</f>
        <v>0</v>
      </c>
      <c r="S29" s="175">
        <f xml:space="preserve"> Inputs!S$156</f>
        <v>0</v>
      </c>
    </row>
    <row r="30" spans="1:19" s="50" customFormat="1">
      <c r="A30" s="54"/>
      <c r="B30" s="64"/>
      <c r="C30" s="110"/>
      <c r="D30" s="60"/>
      <c r="E30" s="175" t="str">
        <f xml:space="preserve"> Inputs!E$157</f>
        <v>FD MODEL INPUTS - Wastewater network - Totex (+ or -) Value Chosen - active - adjusted - real</v>
      </c>
      <c r="F30" s="175">
        <f xml:space="preserve"> Inputs!F$157</f>
        <v>0</v>
      </c>
      <c r="G30" s="175" t="str">
        <f xml:space="preserve"> Inputs!G$157</f>
        <v>£m</v>
      </c>
      <c r="H30" s="175">
        <f xml:space="preserve"> Inputs!H$157</f>
        <v>9.8277680478359741</v>
      </c>
      <c r="I30" s="175">
        <f xml:space="preserve"> Inputs!I$157</f>
        <v>0</v>
      </c>
      <c r="J30" s="175">
        <f xml:space="preserve"> Inputs!J$157</f>
        <v>0</v>
      </c>
      <c r="K30" s="175">
        <f xml:space="preserve"> Inputs!K$157</f>
        <v>0</v>
      </c>
      <c r="L30" s="175">
        <f xml:space="preserve"> Inputs!L$157</f>
        <v>1.9655536095671948</v>
      </c>
      <c r="M30" s="175">
        <f xml:space="preserve"> Inputs!M$157</f>
        <v>1.9655536095671948</v>
      </c>
      <c r="N30" s="175">
        <f xml:space="preserve"> Inputs!N$157</f>
        <v>1.9655536095671948</v>
      </c>
      <c r="O30" s="175">
        <f xml:space="preserve"> Inputs!O$157</f>
        <v>1.9655536095671948</v>
      </c>
      <c r="P30" s="175">
        <f xml:space="preserve"> Inputs!P$157</f>
        <v>1.9655536095671948</v>
      </c>
      <c r="Q30" s="175">
        <f xml:space="preserve"> Inputs!Q$157</f>
        <v>0</v>
      </c>
      <c r="R30" s="175">
        <f xml:space="preserve"> Inputs!R$157</f>
        <v>0</v>
      </c>
      <c r="S30" s="175">
        <f xml:space="preserve"> Inputs!S$157</f>
        <v>0</v>
      </c>
    </row>
    <row r="31" spans="1:19" s="50" customFormat="1">
      <c r="A31" s="54"/>
      <c r="B31" s="64"/>
      <c r="C31" s="110"/>
      <c r="D31" s="60"/>
      <c r="E31" s="175" t="str">
        <f xml:space="preserve"> Inputs!E$158</f>
        <v>FD MODEL INPUTS - Bio resources - Totex (+ or -) Value Chosen - active - adjusted - real</v>
      </c>
      <c r="F31" s="175">
        <f xml:space="preserve"> Inputs!F$158</f>
        <v>0</v>
      </c>
      <c r="G31" s="175" t="str">
        <f xml:space="preserve"> Inputs!G$158</f>
        <v>£m</v>
      </c>
      <c r="H31" s="175">
        <f xml:space="preserve"> Inputs!H$158</f>
        <v>0</v>
      </c>
      <c r="I31" s="175">
        <f xml:space="preserve"> Inputs!I$158</f>
        <v>0</v>
      </c>
      <c r="J31" s="175">
        <f xml:space="preserve"> Inputs!J$158</f>
        <v>0</v>
      </c>
      <c r="K31" s="175">
        <f xml:space="preserve"> Inputs!K$158</f>
        <v>0</v>
      </c>
      <c r="L31" s="175">
        <f xml:space="preserve"> Inputs!L$158</f>
        <v>0</v>
      </c>
      <c r="M31" s="175">
        <f xml:space="preserve"> Inputs!M$158</f>
        <v>0</v>
      </c>
      <c r="N31" s="175">
        <f xml:space="preserve"> Inputs!N$158</f>
        <v>0</v>
      </c>
      <c r="O31" s="175">
        <f xml:space="preserve"> Inputs!O$158</f>
        <v>0</v>
      </c>
      <c r="P31" s="175">
        <f xml:space="preserve"> Inputs!P$158</f>
        <v>0</v>
      </c>
      <c r="Q31" s="175">
        <f xml:space="preserve"> Inputs!Q$158</f>
        <v>0</v>
      </c>
      <c r="R31" s="175">
        <f xml:space="preserve"> Inputs!R$158</f>
        <v>0</v>
      </c>
      <c r="S31" s="175">
        <f xml:space="preserve"> Inputs!S$158</f>
        <v>0</v>
      </c>
    </row>
    <row r="32" spans="1:19" s="50" customFormat="1">
      <c r="A32" s="54"/>
      <c r="B32" s="64"/>
      <c r="C32" s="110"/>
      <c r="D32" s="60"/>
      <c r="E32" s="175" t="str">
        <f xml:space="preserve"> Inputs!E$159</f>
        <v>FD MODEL INPUTS - Dummy control - Totex (+ or -) Value Chosen - active - adjusted - real</v>
      </c>
      <c r="F32" s="175">
        <f xml:space="preserve"> Inputs!F$159</f>
        <v>0</v>
      </c>
      <c r="G32" s="175" t="str">
        <f xml:space="preserve"> Inputs!G$159</f>
        <v>£m</v>
      </c>
      <c r="H32" s="175">
        <f xml:space="preserve"> Inputs!H$159</f>
        <v>0</v>
      </c>
      <c r="I32" s="175">
        <f xml:space="preserve"> Inputs!I$159</f>
        <v>0</v>
      </c>
      <c r="J32" s="175">
        <f xml:space="preserve"> Inputs!J$159</f>
        <v>0</v>
      </c>
      <c r="K32" s="175">
        <f xml:space="preserve"> Inputs!K$159</f>
        <v>0</v>
      </c>
      <c r="L32" s="175">
        <f xml:space="preserve"> Inputs!L$159</f>
        <v>0</v>
      </c>
      <c r="M32" s="175">
        <f xml:space="preserve"> Inputs!M$159</f>
        <v>0</v>
      </c>
      <c r="N32" s="175">
        <f xml:space="preserve"> Inputs!N$159</f>
        <v>0</v>
      </c>
      <c r="O32" s="175">
        <f xml:space="preserve"> Inputs!O$159</f>
        <v>0</v>
      </c>
      <c r="P32" s="175">
        <f xml:space="preserve"> Inputs!P$159</f>
        <v>0</v>
      </c>
      <c r="Q32" s="175">
        <f xml:space="preserve"> Inputs!Q$159</f>
        <v>0</v>
      </c>
      <c r="R32" s="175">
        <f xml:space="preserve"> Inputs!R$159</f>
        <v>0</v>
      </c>
      <c r="S32" s="175">
        <f xml:space="preserve"> Inputs!S$159</f>
        <v>0</v>
      </c>
    </row>
    <row r="33" spans="1:19" s="50" customFormat="1">
      <c r="A33" s="54"/>
      <c r="B33" s="64"/>
      <c r="C33" s="110"/>
      <c r="D33" s="60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</row>
    <row r="34" spans="1:19" s="50" customFormat="1">
      <c r="A34" s="54"/>
      <c r="B34" s="64"/>
      <c r="C34" s="110"/>
      <c r="D34" s="60"/>
      <c r="E34" s="175" t="str">
        <f xml:space="preserve"> Inputs!E$281</f>
        <v>NEW MODEL INPUTS - Water resources - Totex (+ or -) Value Chosen - active - adjusted - real</v>
      </c>
      <c r="F34" s="175">
        <f xml:space="preserve"> Inputs!F$281</f>
        <v>0</v>
      </c>
      <c r="G34" s="175" t="str">
        <f xml:space="preserve"> Inputs!G$281</f>
        <v>£m</v>
      </c>
      <c r="H34" s="175">
        <f xml:space="preserve"> Inputs!H$281</f>
        <v>0</v>
      </c>
      <c r="I34" s="175">
        <f xml:space="preserve"> Inputs!I$281</f>
        <v>0</v>
      </c>
      <c r="J34" s="175">
        <f xml:space="preserve"> Inputs!J$281</f>
        <v>0</v>
      </c>
      <c r="K34" s="175">
        <f xml:space="preserve"> Inputs!K$281</f>
        <v>0</v>
      </c>
      <c r="L34" s="175">
        <f xml:space="preserve"> Inputs!L$281</f>
        <v>0</v>
      </c>
      <c r="M34" s="175">
        <f xml:space="preserve"> Inputs!M$281</f>
        <v>0</v>
      </c>
      <c r="N34" s="175">
        <f xml:space="preserve"> Inputs!N$281</f>
        <v>0</v>
      </c>
      <c r="O34" s="175">
        <f xml:space="preserve"> Inputs!O$281</f>
        <v>0</v>
      </c>
      <c r="P34" s="175">
        <f xml:space="preserve"> Inputs!P$281</f>
        <v>0</v>
      </c>
      <c r="Q34" s="175">
        <f xml:space="preserve"> Inputs!Q$281</f>
        <v>0</v>
      </c>
      <c r="R34" s="175">
        <f xml:space="preserve"> Inputs!R$281</f>
        <v>0</v>
      </c>
      <c r="S34" s="175">
        <f xml:space="preserve"> Inputs!S$281</f>
        <v>0</v>
      </c>
    </row>
    <row r="35" spans="1:19" s="50" customFormat="1">
      <c r="A35" s="54"/>
      <c r="B35" s="64"/>
      <c r="C35" s="110"/>
      <c r="D35" s="60"/>
      <c r="E35" s="175" t="str">
        <f xml:space="preserve"> Inputs!E$282</f>
        <v>NEW MODEL INPUTS - Water network - Totex (+ or -) Value Chosen - active - adjusted - real</v>
      </c>
      <c r="F35" s="175">
        <f xml:space="preserve"> Inputs!F$282</f>
        <v>0</v>
      </c>
      <c r="G35" s="175" t="str">
        <f xml:space="preserve"> Inputs!G$282</f>
        <v>£m</v>
      </c>
      <c r="H35" s="175">
        <f xml:space="preserve"> Inputs!H$282</f>
        <v>41.277745924724961</v>
      </c>
      <c r="I35" s="175">
        <f xml:space="preserve"> Inputs!I$282</f>
        <v>0</v>
      </c>
      <c r="J35" s="175">
        <f xml:space="preserve"> Inputs!J$282</f>
        <v>0</v>
      </c>
      <c r="K35" s="175">
        <f xml:space="preserve"> Inputs!K$282</f>
        <v>0</v>
      </c>
      <c r="L35" s="175">
        <f xml:space="preserve"> Inputs!L$282</f>
        <v>8.5076270226532351</v>
      </c>
      <c r="M35" s="175">
        <f xml:space="preserve"> Inputs!M$282</f>
        <v>8.5076270226532351</v>
      </c>
      <c r="N35" s="175">
        <f xml:space="preserve"> Inputs!N$282</f>
        <v>8.5076270226532351</v>
      </c>
      <c r="O35" s="175">
        <f xml:space="preserve"> Inputs!O$282</f>
        <v>7.877432428382626</v>
      </c>
      <c r="P35" s="175">
        <f xml:space="preserve"> Inputs!P$282</f>
        <v>7.877432428382626</v>
      </c>
      <c r="Q35" s="175">
        <f xml:space="preserve"> Inputs!Q$282</f>
        <v>0</v>
      </c>
      <c r="R35" s="175">
        <f xml:space="preserve"> Inputs!R$282</f>
        <v>0</v>
      </c>
      <c r="S35" s="175">
        <f xml:space="preserve"> Inputs!S$282</f>
        <v>0</v>
      </c>
    </row>
    <row r="36" spans="1:19" s="50" customFormat="1">
      <c r="A36" s="54"/>
      <c r="B36" s="64"/>
      <c r="C36" s="110"/>
      <c r="D36" s="60"/>
      <c r="E36" s="175" t="str">
        <f xml:space="preserve"> Inputs!E$283</f>
        <v>NEW MODEL INPUTS - Wastewater network - Totex (+ or -) Value Chosen - active - adjusted - real</v>
      </c>
      <c r="F36" s="175">
        <f xml:space="preserve"> Inputs!F$283</f>
        <v>0</v>
      </c>
      <c r="G36" s="175" t="str">
        <f xml:space="preserve"> Inputs!G$283</f>
        <v>£m</v>
      </c>
      <c r="H36" s="175">
        <f xml:space="preserve"> Inputs!H$283</f>
        <v>9.3067779344567185</v>
      </c>
      <c r="I36" s="175">
        <f xml:space="preserve"> Inputs!I$283</f>
        <v>0</v>
      </c>
      <c r="J36" s="175">
        <f xml:space="preserve"> Inputs!J$283</f>
        <v>0</v>
      </c>
      <c r="K36" s="175">
        <f xml:space="preserve"> Inputs!K$283</f>
        <v>0</v>
      </c>
      <c r="L36" s="175">
        <f xml:space="preserve"> Inputs!L$283</f>
        <v>1.9181908719872625</v>
      </c>
      <c r="M36" s="175">
        <f xml:space="preserve"> Inputs!M$283</f>
        <v>1.9181908719872625</v>
      </c>
      <c r="N36" s="175">
        <f xml:space="preserve"> Inputs!N$283</f>
        <v>1.9181908719872625</v>
      </c>
      <c r="O36" s="175">
        <f xml:space="preserve"> Inputs!O$283</f>
        <v>1.7761026592474651</v>
      </c>
      <c r="P36" s="175">
        <f xml:space="preserve"> Inputs!P$283</f>
        <v>1.7761026592474651</v>
      </c>
      <c r="Q36" s="175">
        <f xml:space="preserve"> Inputs!Q$283</f>
        <v>0</v>
      </c>
      <c r="R36" s="175">
        <f xml:space="preserve"> Inputs!R$283</f>
        <v>0</v>
      </c>
      <c r="S36" s="175">
        <f xml:space="preserve"> Inputs!S$283</f>
        <v>0</v>
      </c>
    </row>
    <row r="37" spans="1:19" s="50" customFormat="1">
      <c r="A37" s="54"/>
      <c r="B37" s="64"/>
      <c r="C37" s="110"/>
      <c r="D37" s="60"/>
      <c r="E37" s="175" t="str">
        <f xml:space="preserve"> Inputs!E$284</f>
        <v>NEW MODEL INPUTS - Bio resources - Totex (+ or -) Value Chosen - active - adjusted - real</v>
      </c>
      <c r="F37" s="175">
        <f xml:space="preserve"> Inputs!F$284</f>
        <v>0</v>
      </c>
      <c r="G37" s="175" t="str">
        <f xml:space="preserve"> Inputs!G$284</f>
        <v>£m</v>
      </c>
      <c r="H37" s="175">
        <f xml:space="preserve"> Inputs!H$284</f>
        <v>0</v>
      </c>
      <c r="I37" s="175">
        <f xml:space="preserve"> Inputs!I$284</f>
        <v>0</v>
      </c>
      <c r="J37" s="175">
        <f xml:space="preserve"> Inputs!J$284</f>
        <v>0</v>
      </c>
      <c r="K37" s="175">
        <f xml:space="preserve"> Inputs!K$284</f>
        <v>0</v>
      </c>
      <c r="L37" s="175">
        <f xml:space="preserve"> Inputs!L$284</f>
        <v>0</v>
      </c>
      <c r="M37" s="175">
        <f xml:space="preserve"> Inputs!M$284</f>
        <v>0</v>
      </c>
      <c r="N37" s="175">
        <f xml:space="preserve"> Inputs!N$284</f>
        <v>0</v>
      </c>
      <c r="O37" s="175">
        <f xml:space="preserve"> Inputs!O$284</f>
        <v>0</v>
      </c>
      <c r="P37" s="175">
        <f xml:space="preserve"> Inputs!P$284</f>
        <v>0</v>
      </c>
      <c r="Q37" s="175">
        <f xml:space="preserve"> Inputs!Q$284</f>
        <v>0</v>
      </c>
      <c r="R37" s="175">
        <f xml:space="preserve"> Inputs!R$284</f>
        <v>0</v>
      </c>
      <c r="S37" s="175">
        <f xml:space="preserve"> Inputs!S$284</f>
        <v>0</v>
      </c>
    </row>
    <row r="38" spans="1:19" s="50" customFormat="1">
      <c r="A38" s="54"/>
      <c r="B38" s="64"/>
      <c r="C38" s="110"/>
      <c r="D38" s="60"/>
      <c r="E38" s="175" t="str">
        <f xml:space="preserve"> Inputs!E$285</f>
        <v>NEW MODEL INPUTS - Dummy control - Totex (+ or -) Value Chosen - active - adjusted - real</v>
      </c>
      <c r="F38" s="175">
        <f xml:space="preserve"> Inputs!F$285</f>
        <v>0</v>
      </c>
      <c r="G38" s="175" t="str">
        <f xml:space="preserve"> Inputs!G$285</f>
        <v>£m</v>
      </c>
      <c r="H38" s="175">
        <f xml:space="preserve"> Inputs!H$285</f>
        <v>0</v>
      </c>
      <c r="I38" s="175">
        <f xml:space="preserve"> Inputs!I$285</f>
        <v>0</v>
      </c>
      <c r="J38" s="175">
        <f xml:space="preserve"> Inputs!J$285</f>
        <v>0</v>
      </c>
      <c r="K38" s="175">
        <f xml:space="preserve"> Inputs!K$285</f>
        <v>0</v>
      </c>
      <c r="L38" s="175">
        <f xml:space="preserve"> Inputs!L$285</f>
        <v>0</v>
      </c>
      <c r="M38" s="175">
        <f xml:space="preserve"> Inputs!M$285</f>
        <v>0</v>
      </c>
      <c r="N38" s="175">
        <f xml:space="preserve"> Inputs!N$285</f>
        <v>0</v>
      </c>
      <c r="O38" s="175">
        <f xml:space="preserve"> Inputs!O$285</f>
        <v>0</v>
      </c>
      <c r="P38" s="175">
        <f xml:space="preserve"> Inputs!P$285</f>
        <v>0</v>
      </c>
      <c r="Q38" s="175">
        <f xml:space="preserve"> Inputs!Q$285</f>
        <v>0</v>
      </c>
      <c r="R38" s="175">
        <f xml:space="preserve"> Inputs!R$285</f>
        <v>0</v>
      </c>
      <c r="S38" s="175">
        <f xml:space="preserve"> Inputs!S$285</f>
        <v>0</v>
      </c>
    </row>
    <row r="39" spans="1:19" s="50" customFormat="1">
      <c r="A39" s="54"/>
      <c r="B39" s="64"/>
      <c r="C39" s="110"/>
      <c r="D39" s="60"/>
      <c r="E39" s="175">
        <f xml:space="preserve"> Inputs!E$286</f>
        <v>0</v>
      </c>
      <c r="H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</row>
    <row r="40" spans="1:19" s="50" customFormat="1">
      <c r="A40" s="54"/>
      <c r="B40" s="64"/>
      <c r="C40" s="110"/>
      <c r="D40" s="60"/>
      <c r="E40" s="50" t="s">
        <v>180</v>
      </c>
      <c r="G40" s="50" t="s">
        <v>129</v>
      </c>
      <c r="H40" s="160">
        <f>SUM(J40:S40)</f>
        <v>0</v>
      </c>
      <c r="J40" s="160">
        <f>J28-J34</f>
        <v>0</v>
      </c>
      <c r="K40" s="160">
        <f t="shared" ref="K40:S40" si="5">K28-K34</f>
        <v>0</v>
      </c>
      <c r="L40" s="160">
        <f t="shared" si="5"/>
        <v>0</v>
      </c>
      <c r="M40" s="160">
        <f t="shared" si="5"/>
        <v>0</v>
      </c>
      <c r="N40" s="160">
        <f t="shared" si="5"/>
        <v>0</v>
      </c>
      <c r="O40" s="160">
        <f t="shared" si="5"/>
        <v>0</v>
      </c>
      <c r="P40" s="160">
        <f t="shared" si="5"/>
        <v>0</v>
      </c>
      <c r="Q40" s="160">
        <f t="shared" si="5"/>
        <v>0</v>
      </c>
      <c r="R40" s="160">
        <f t="shared" si="5"/>
        <v>0</v>
      </c>
      <c r="S40" s="160">
        <f t="shared" si="5"/>
        <v>0</v>
      </c>
    </row>
    <row r="41" spans="1:19" s="50" customFormat="1">
      <c r="A41" s="54"/>
      <c r="B41" s="64"/>
      <c r="C41" s="110"/>
      <c r="D41" s="60"/>
      <c r="E41" s="50" t="s">
        <v>181</v>
      </c>
      <c r="G41" s="50" t="s">
        <v>129</v>
      </c>
      <c r="H41" s="160">
        <f>SUM(J41:S41)</f>
        <v>2.3107135123255667</v>
      </c>
      <c r="J41" s="160">
        <f>J29-J35</f>
        <v>0</v>
      </c>
      <c r="K41" s="160">
        <f t="shared" ref="K41:S41" si="6">K29-K35</f>
        <v>0</v>
      </c>
      <c r="L41" s="160">
        <f t="shared" si="6"/>
        <v>0.2100648647568697</v>
      </c>
      <c r="M41" s="160">
        <f t="shared" si="6"/>
        <v>0.2100648647568697</v>
      </c>
      <c r="N41" s="160">
        <f t="shared" si="6"/>
        <v>0.2100648647568697</v>
      </c>
      <c r="O41" s="160">
        <f t="shared" si="6"/>
        <v>0.84025945902747878</v>
      </c>
      <c r="P41" s="160">
        <f t="shared" si="6"/>
        <v>0.84025945902747878</v>
      </c>
      <c r="Q41" s="160">
        <f t="shared" si="6"/>
        <v>0</v>
      </c>
      <c r="R41" s="160">
        <f t="shared" si="6"/>
        <v>0</v>
      </c>
      <c r="S41" s="160">
        <f t="shared" si="6"/>
        <v>0</v>
      </c>
    </row>
    <row r="42" spans="1:19" s="50" customFormat="1">
      <c r="A42" s="54"/>
      <c r="B42" s="64"/>
      <c r="C42" s="110"/>
      <c r="D42" s="60"/>
      <c r="E42" s="50" t="s">
        <v>182</v>
      </c>
      <c r="G42" s="50" t="s">
        <v>129</v>
      </c>
      <c r="H42" s="160">
        <f>SUM(J42:S42)</f>
        <v>0.52099011337925649</v>
      </c>
      <c r="J42" s="160">
        <f>J30-J36</f>
        <v>0</v>
      </c>
      <c r="K42" s="160">
        <f t="shared" ref="K42:S44" si="7">K30-K36</f>
        <v>0</v>
      </c>
      <c r="L42" s="160">
        <f t="shared" si="7"/>
        <v>4.7362737579932368E-2</v>
      </c>
      <c r="M42" s="160">
        <f t="shared" si="7"/>
        <v>4.7362737579932368E-2</v>
      </c>
      <c r="N42" s="160">
        <f t="shared" si="7"/>
        <v>4.7362737579932368E-2</v>
      </c>
      <c r="O42" s="160">
        <f t="shared" si="7"/>
        <v>0.18945095031972969</v>
      </c>
      <c r="P42" s="160">
        <f t="shared" si="7"/>
        <v>0.18945095031972969</v>
      </c>
      <c r="Q42" s="160">
        <f t="shared" si="7"/>
        <v>0</v>
      </c>
      <c r="R42" s="160">
        <f t="shared" si="7"/>
        <v>0</v>
      </c>
      <c r="S42" s="160">
        <f t="shared" si="7"/>
        <v>0</v>
      </c>
    </row>
    <row r="43" spans="1:19" s="50" customFormat="1">
      <c r="A43" s="54"/>
      <c r="B43" s="64"/>
      <c r="C43" s="110"/>
      <c r="D43" s="60"/>
      <c r="E43" s="50" t="s">
        <v>183</v>
      </c>
      <c r="G43" s="50" t="s">
        <v>129</v>
      </c>
      <c r="H43" s="160">
        <f>SUM(J43:S43)</f>
        <v>0</v>
      </c>
      <c r="J43" s="160">
        <f>J31-J37</f>
        <v>0</v>
      </c>
      <c r="K43" s="160">
        <f t="shared" si="7"/>
        <v>0</v>
      </c>
      <c r="L43" s="160">
        <f t="shared" si="7"/>
        <v>0</v>
      </c>
      <c r="M43" s="160">
        <f t="shared" si="7"/>
        <v>0</v>
      </c>
      <c r="N43" s="160">
        <f t="shared" si="7"/>
        <v>0</v>
      </c>
      <c r="O43" s="160">
        <f t="shared" si="7"/>
        <v>0</v>
      </c>
      <c r="P43" s="160">
        <f t="shared" si="7"/>
        <v>0</v>
      </c>
      <c r="Q43" s="160">
        <f t="shared" si="7"/>
        <v>0</v>
      </c>
      <c r="R43" s="160">
        <f t="shared" si="7"/>
        <v>0</v>
      </c>
      <c r="S43" s="160">
        <f t="shared" si="7"/>
        <v>0</v>
      </c>
    </row>
    <row r="44" spans="1:19" s="50" customFormat="1">
      <c r="A44" s="54"/>
      <c r="B44" s="64"/>
      <c r="C44" s="110"/>
      <c r="D44" s="60"/>
      <c r="E44" s="50" t="s">
        <v>184</v>
      </c>
      <c r="G44" s="50" t="s">
        <v>129</v>
      </c>
      <c r="H44" s="160">
        <f>SUM(J44:S44)</f>
        <v>0</v>
      </c>
      <c r="J44" s="160">
        <f>J32-J38</f>
        <v>0</v>
      </c>
      <c r="K44" s="160">
        <f t="shared" si="7"/>
        <v>0</v>
      </c>
      <c r="L44" s="160">
        <f t="shared" si="7"/>
        <v>0</v>
      </c>
      <c r="M44" s="160">
        <f t="shared" si="7"/>
        <v>0</v>
      </c>
      <c r="N44" s="160">
        <f t="shared" si="7"/>
        <v>0</v>
      </c>
      <c r="O44" s="160">
        <f t="shared" si="7"/>
        <v>0</v>
      </c>
      <c r="P44" s="160">
        <f t="shared" si="7"/>
        <v>0</v>
      </c>
      <c r="Q44" s="160">
        <f t="shared" si="7"/>
        <v>0</v>
      </c>
      <c r="R44" s="160">
        <f t="shared" si="7"/>
        <v>0</v>
      </c>
      <c r="S44" s="160">
        <f t="shared" si="7"/>
        <v>0</v>
      </c>
    </row>
    <row r="45" spans="1:19" s="50" customFormat="1">
      <c r="A45" s="54"/>
      <c r="B45" s="64"/>
      <c r="C45" s="110"/>
      <c r="D45" s="60"/>
      <c r="H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</row>
    <row r="46" spans="1:19" s="50" customFormat="1">
      <c r="A46" s="54"/>
      <c r="B46" s="64"/>
      <c r="C46" s="110"/>
      <c r="D46" s="60"/>
      <c r="E46" s="175" t="str">
        <f xml:space="preserve"> Inputs!E$161</f>
        <v>FD MODEL INPUTS - Water resources - WRFIM (+ or -) Value Chosen - active - adjusted - real</v>
      </c>
      <c r="F46" s="175">
        <f xml:space="preserve"> Inputs!F$161</f>
        <v>0</v>
      </c>
      <c r="G46" s="175" t="str">
        <f xml:space="preserve"> Inputs!G$161</f>
        <v>£m</v>
      </c>
      <c r="H46" s="175">
        <f xml:space="preserve"> Inputs!H$161</f>
        <v>0</v>
      </c>
      <c r="I46" s="175">
        <f xml:space="preserve"> Inputs!I$161</f>
        <v>0</v>
      </c>
      <c r="J46" s="175">
        <f xml:space="preserve"> Inputs!J$161</f>
        <v>0</v>
      </c>
      <c r="K46" s="175">
        <f xml:space="preserve"> Inputs!K$161</f>
        <v>0</v>
      </c>
      <c r="L46" s="175">
        <f xml:space="preserve"> Inputs!L$161</f>
        <v>0</v>
      </c>
      <c r="M46" s="175">
        <f xml:space="preserve"> Inputs!M$161</f>
        <v>0</v>
      </c>
      <c r="N46" s="175">
        <f xml:space="preserve"> Inputs!N$161</f>
        <v>0</v>
      </c>
      <c r="O46" s="175">
        <f xml:space="preserve"> Inputs!O$161</f>
        <v>0</v>
      </c>
      <c r="P46" s="175">
        <f xml:space="preserve"> Inputs!P$161</f>
        <v>0</v>
      </c>
      <c r="Q46" s="175">
        <f xml:space="preserve"> Inputs!Q$161</f>
        <v>0</v>
      </c>
      <c r="R46" s="175">
        <f xml:space="preserve"> Inputs!R$161</f>
        <v>0</v>
      </c>
      <c r="S46" s="175">
        <f xml:space="preserve"> Inputs!S$161</f>
        <v>0</v>
      </c>
    </row>
    <row r="47" spans="1:19" s="50" customFormat="1">
      <c r="A47" s="54"/>
      <c r="B47" s="64"/>
      <c r="C47" s="110"/>
      <c r="D47" s="60"/>
      <c r="E47" s="175" t="str">
        <f xml:space="preserve"> Inputs!E$162</f>
        <v>FD MODEL INPUTS - Water network - WRFIM (+ or -) Value Chosen - active - adjusted - real</v>
      </c>
      <c r="F47" s="175">
        <f xml:space="preserve"> Inputs!F$162</f>
        <v>0</v>
      </c>
      <c r="G47" s="175" t="str">
        <f xml:space="preserve"> Inputs!G$162</f>
        <v>£m</v>
      </c>
      <c r="H47" s="175">
        <f xml:space="preserve"> Inputs!H$162</f>
        <v>-5.2837474219407055</v>
      </c>
      <c r="I47" s="175">
        <f xml:space="preserve"> Inputs!I$162</f>
        <v>0</v>
      </c>
      <c r="J47" s="175">
        <f xml:space="preserve"> Inputs!J$162</f>
        <v>0</v>
      </c>
      <c r="K47" s="175">
        <f xml:space="preserve"> Inputs!K$162</f>
        <v>0</v>
      </c>
      <c r="L47" s="175">
        <f xml:space="preserve"> Inputs!L$162</f>
        <v>-1.0567494843881411</v>
      </c>
      <c r="M47" s="175">
        <f xml:space="preserve"> Inputs!M$162</f>
        <v>-1.0567494843881411</v>
      </c>
      <c r="N47" s="175">
        <f xml:space="preserve"> Inputs!N$162</f>
        <v>-1.0567494843881411</v>
      </c>
      <c r="O47" s="175">
        <f xml:space="preserve"> Inputs!O$162</f>
        <v>-1.0567494843881411</v>
      </c>
      <c r="P47" s="175">
        <f xml:space="preserve"> Inputs!P$162</f>
        <v>-1.0567494843881411</v>
      </c>
      <c r="Q47" s="175">
        <f xml:space="preserve"> Inputs!Q$162</f>
        <v>0</v>
      </c>
      <c r="R47" s="175">
        <f xml:space="preserve"> Inputs!R$162</f>
        <v>0</v>
      </c>
      <c r="S47" s="175">
        <f xml:space="preserve"> Inputs!S$162</f>
        <v>0</v>
      </c>
    </row>
    <row r="48" spans="1:19" s="50" customFormat="1">
      <c r="A48" s="54"/>
      <c r="B48" s="64"/>
      <c r="C48" s="110"/>
      <c r="D48" s="60"/>
      <c r="E48" s="175" t="str">
        <f xml:space="preserve"> Inputs!E$163</f>
        <v>FD MODEL INPUTS - Wastewater network - WRFIM (+ or -) Value Chosen - active - adjusted - real</v>
      </c>
      <c r="F48" s="175">
        <f xml:space="preserve"> Inputs!F$163</f>
        <v>0</v>
      </c>
      <c r="G48" s="175" t="str">
        <f xml:space="preserve"> Inputs!G$163</f>
        <v>£m</v>
      </c>
      <c r="H48" s="175">
        <f xml:space="preserve"> Inputs!H$163</f>
        <v>6.8491183489785126</v>
      </c>
      <c r="I48" s="175">
        <f xml:space="preserve"> Inputs!I$163</f>
        <v>0</v>
      </c>
      <c r="J48" s="175">
        <f xml:space="preserve"> Inputs!J$163</f>
        <v>0</v>
      </c>
      <c r="K48" s="175">
        <f xml:space="preserve"> Inputs!K$163</f>
        <v>0</v>
      </c>
      <c r="L48" s="175">
        <f xml:space="preserve"> Inputs!L$163</f>
        <v>1.3698236697957025</v>
      </c>
      <c r="M48" s="175">
        <f xml:space="preserve"> Inputs!M$163</f>
        <v>1.3698236697957025</v>
      </c>
      <c r="N48" s="175">
        <f xml:space="preserve"> Inputs!N$163</f>
        <v>1.3698236697957025</v>
      </c>
      <c r="O48" s="175">
        <f xml:space="preserve"> Inputs!O$163</f>
        <v>1.3698236697957025</v>
      </c>
      <c r="P48" s="175">
        <f xml:space="preserve"> Inputs!P$163</f>
        <v>1.3698236697957025</v>
      </c>
      <c r="Q48" s="175">
        <f xml:space="preserve"> Inputs!Q$163</f>
        <v>0</v>
      </c>
      <c r="R48" s="175">
        <f xml:space="preserve"> Inputs!R$163</f>
        <v>0</v>
      </c>
      <c r="S48" s="175">
        <f xml:space="preserve"> Inputs!S$163</f>
        <v>0</v>
      </c>
    </row>
    <row r="49" spans="1:19" s="50" customFormat="1">
      <c r="A49" s="54"/>
      <c r="B49" s="64"/>
      <c r="C49" s="110"/>
      <c r="D49" s="60"/>
      <c r="E49" s="175" t="str">
        <f xml:space="preserve"> Inputs!E$164</f>
        <v>FD MODEL INPUTS - Bio resources - WRFIM (+ or -) Value Chosen - active - adjusted - real</v>
      </c>
      <c r="F49" s="175">
        <f xml:space="preserve"> Inputs!F$164</f>
        <v>0</v>
      </c>
      <c r="G49" s="175" t="str">
        <f xml:space="preserve"> Inputs!G$164</f>
        <v>£m</v>
      </c>
      <c r="H49" s="175">
        <f xml:space="preserve"> Inputs!H$164</f>
        <v>0</v>
      </c>
      <c r="I49" s="175">
        <f xml:space="preserve"> Inputs!I$164</f>
        <v>0</v>
      </c>
      <c r="J49" s="175">
        <f xml:space="preserve"> Inputs!J$164</f>
        <v>0</v>
      </c>
      <c r="K49" s="175">
        <f xml:space="preserve"> Inputs!K$164</f>
        <v>0</v>
      </c>
      <c r="L49" s="175">
        <f xml:space="preserve"> Inputs!L$164</f>
        <v>0</v>
      </c>
      <c r="M49" s="175">
        <f xml:space="preserve"> Inputs!M$164</f>
        <v>0</v>
      </c>
      <c r="N49" s="175">
        <f xml:space="preserve"> Inputs!N$164</f>
        <v>0</v>
      </c>
      <c r="O49" s="175">
        <f xml:space="preserve"> Inputs!O$164</f>
        <v>0</v>
      </c>
      <c r="P49" s="175">
        <f xml:space="preserve"> Inputs!P$164</f>
        <v>0</v>
      </c>
      <c r="Q49" s="175">
        <f xml:space="preserve"> Inputs!Q$164</f>
        <v>0</v>
      </c>
      <c r="R49" s="175">
        <f xml:space="preserve"> Inputs!R$164</f>
        <v>0</v>
      </c>
      <c r="S49" s="175">
        <f xml:space="preserve"> Inputs!S$164</f>
        <v>0</v>
      </c>
    </row>
    <row r="50" spans="1:19" s="50" customFormat="1">
      <c r="A50" s="54"/>
      <c r="B50" s="64"/>
      <c r="C50" s="110"/>
      <c r="D50" s="60"/>
      <c r="E50" s="175" t="str">
        <f xml:space="preserve"> Inputs!E$165</f>
        <v>FD MODEL INPUTS - Dummy control - WRFIM (+ or -) Value Chosen - active - adjusted - real</v>
      </c>
      <c r="F50" s="175">
        <f xml:space="preserve"> Inputs!F$165</f>
        <v>0</v>
      </c>
      <c r="G50" s="175" t="str">
        <f xml:space="preserve"> Inputs!G$165</f>
        <v>£m</v>
      </c>
      <c r="H50" s="175">
        <f xml:space="preserve"> Inputs!H$165</f>
        <v>0</v>
      </c>
      <c r="I50" s="175">
        <f xml:space="preserve"> Inputs!I$165</f>
        <v>0</v>
      </c>
      <c r="J50" s="175">
        <f xml:space="preserve"> Inputs!J$165</f>
        <v>0</v>
      </c>
      <c r="K50" s="175">
        <f xml:space="preserve"> Inputs!K$165</f>
        <v>0</v>
      </c>
      <c r="L50" s="175">
        <f xml:space="preserve"> Inputs!L$165</f>
        <v>0</v>
      </c>
      <c r="M50" s="175">
        <f xml:space="preserve"> Inputs!M$165</f>
        <v>0</v>
      </c>
      <c r="N50" s="175">
        <f xml:space="preserve"> Inputs!N$165</f>
        <v>0</v>
      </c>
      <c r="O50" s="175">
        <f xml:space="preserve"> Inputs!O$165</f>
        <v>0</v>
      </c>
      <c r="P50" s="175">
        <f xml:space="preserve"> Inputs!P$165</f>
        <v>0</v>
      </c>
      <c r="Q50" s="175">
        <f xml:space="preserve"> Inputs!Q$165</f>
        <v>0</v>
      </c>
      <c r="R50" s="175">
        <f xml:space="preserve"> Inputs!R$165</f>
        <v>0</v>
      </c>
      <c r="S50" s="175">
        <f xml:space="preserve"> Inputs!S$165</f>
        <v>0</v>
      </c>
    </row>
    <row r="51" spans="1:19" s="50" customFormat="1">
      <c r="A51" s="54"/>
      <c r="B51" s="64"/>
      <c r="C51" s="110"/>
      <c r="D51" s="60"/>
    </row>
    <row r="52" spans="1:19" s="50" customFormat="1">
      <c r="A52" s="54"/>
      <c r="B52" s="64"/>
      <c r="C52" s="110"/>
      <c r="D52" s="60"/>
      <c r="E52" s="175" t="str">
        <f xml:space="preserve"> Inputs!E$287</f>
        <v>NEW MODEL INPUTS - Water resources - WRFIM (+ or -) Value Chosen - active - adjusted - real</v>
      </c>
      <c r="F52" s="175">
        <f xml:space="preserve"> Inputs!F$287</f>
        <v>0</v>
      </c>
      <c r="G52" s="175" t="str">
        <f xml:space="preserve"> Inputs!G$287</f>
        <v>£m</v>
      </c>
      <c r="H52" s="175">
        <f xml:space="preserve"> Inputs!H$287</f>
        <v>0</v>
      </c>
      <c r="I52" s="175">
        <f xml:space="preserve"> Inputs!I$287</f>
        <v>0</v>
      </c>
      <c r="J52" s="175">
        <f xml:space="preserve"> Inputs!J$287</f>
        <v>0</v>
      </c>
      <c r="K52" s="175">
        <f xml:space="preserve"> Inputs!K$287</f>
        <v>0</v>
      </c>
      <c r="L52" s="175">
        <f xml:space="preserve"> Inputs!L$287</f>
        <v>0</v>
      </c>
      <c r="M52" s="175">
        <f xml:space="preserve"> Inputs!M$287</f>
        <v>0</v>
      </c>
      <c r="N52" s="175">
        <f xml:space="preserve"> Inputs!N$287</f>
        <v>0</v>
      </c>
      <c r="O52" s="175">
        <f xml:space="preserve"> Inputs!O$287</f>
        <v>0</v>
      </c>
      <c r="P52" s="175">
        <f xml:space="preserve"> Inputs!P$287</f>
        <v>0</v>
      </c>
      <c r="Q52" s="175">
        <f xml:space="preserve"> Inputs!Q$287</f>
        <v>0</v>
      </c>
      <c r="R52" s="175">
        <f xml:space="preserve"> Inputs!R$287</f>
        <v>0</v>
      </c>
      <c r="S52" s="175">
        <f xml:space="preserve"> Inputs!S$287</f>
        <v>0</v>
      </c>
    </row>
    <row r="53" spans="1:19" s="50" customFormat="1">
      <c r="A53" s="54"/>
      <c r="B53" s="64"/>
      <c r="C53" s="110"/>
      <c r="D53" s="60"/>
      <c r="E53" s="175" t="str">
        <f xml:space="preserve"> Inputs!E$288</f>
        <v>NEW MODEL INPUTS - Water network - WRFIM (+ or -) Value Chosen - active - adjusted - real</v>
      </c>
      <c r="F53" s="175">
        <f xml:space="preserve"> Inputs!F$288</f>
        <v>0</v>
      </c>
      <c r="G53" s="175" t="str">
        <f xml:space="preserve"> Inputs!G$288</f>
        <v>£m</v>
      </c>
      <c r="H53" s="175">
        <f xml:space="preserve"> Inputs!H$288</f>
        <v>-5.003645148970354</v>
      </c>
      <c r="I53" s="175">
        <f xml:space="preserve"> Inputs!I$288</f>
        <v>0</v>
      </c>
      <c r="J53" s="175">
        <f xml:space="preserve"> Inputs!J$288</f>
        <v>0</v>
      </c>
      <c r="K53" s="175">
        <f xml:space="preserve"> Inputs!K$288</f>
        <v>0</v>
      </c>
      <c r="L53" s="175">
        <f xml:space="preserve"> Inputs!L$288</f>
        <v>-1.0312856413908364</v>
      </c>
      <c r="M53" s="175">
        <f xml:space="preserve"> Inputs!M$288</f>
        <v>-1.0312856413908364</v>
      </c>
      <c r="N53" s="175">
        <f xml:space="preserve"> Inputs!N$288</f>
        <v>-1.0312856413908364</v>
      </c>
      <c r="O53" s="175">
        <f xml:space="preserve"> Inputs!O$288</f>
        <v>-0.95489411239892252</v>
      </c>
      <c r="P53" s="175">
        <f xml:space="preserve"> Inputs!P$288</f>
        <v>-0.95489411239892252</v>
      </c>
      <c r="Q53" s="175">
        <f xml:space="preserve"> Inputs!Q$288</f>
        <v>0</v>
      </c>
      <c r="R53" s="175">
        <f xml:space="preserve"> Inputs!R$288</f>
        <v>0</v>
      </c>
      <c r="S53" s="175">
        <f xml:space="preserve"> Inputs!S$288</f>
        <v>0</v>
      </c>
    </row>
    <row r="54" spans="1:19" s="50" customFormat="1">
      <c r="A54" s="54"/>
      <c r="B54" s="64"/>
      <c r="C54" s="110"/>
      <c r="D54" s="60"/>
      <c r="E54" s="175" t="str">
        <f xml:space="preserve"> Inputs!E$289</f>
        <v>NEW MODEL INPUTS - Wastewater network - WRFIM (+ or -) Value Chosen - active - adjusted - real</v>
      </c>
      <c r="F54" s="175">
        <f xml:space="preserve"> Inputs!F$289</f>
        <v>0</v>
      </c>
      <c r="G54" s="175" t="str">
        <f xml:space="preserve"> Inputs!G$289</f>
        <v>£m</v>
      </c>
      <c r="H54" s="175">
        <f xml:space="preserve"> Inputs!H$289</f>
        <v>6.4860325569844708</v>
      </c>
      <c r="I54" s="175">
        <f xml:space="preserve"> Inputs!I$289</f>
        <v>0</v>
      </c>
      <c r="J54" s="175">
        <f xml:space="preserve"> Inputs!J$289</f>
        <v>0</v>
      </c>
      <c r="K54" s="175">
        <f xml:space="preserve"> Inputs!K$289</f>
        <v>0</v>
      </c>
      <c r="L54" s="175">
        <f xml:space="preserve"> Inputs!L$289</f>
        <v>1.3368158705235169</v>
      </c>
      <c r="M54" s="175">
        <f xml:space="preserve"> Inputs!M$289</f>
        <v>1.3368158705235169</v>
      </c>
      <c r="N54" s="175">
        <f xml:space="preserve"> Inputs!N$289</f>
        <v>1.3368158705235169</v>
      </c>
      <c r="O54" s="175">
        <f xml:space="preserve"> Inputs!O$289</f>
        <v>1.23779247270696</v>
      </c>
      <c r="P54" s="175">
        <f xml:space="preserve"> Inputs!P$289</f>
        <v>1.23779247270696</v>
      </c>
      <c r="Q54" s="175">
        <f xml:space="preserve"> Inputs!Q$289</f>
        <v>0</v>
      </c>
      <c r="R54" s="175">
        <f xml:space="preserve"> Inputs!R$289</f>
        <v>0</v>
      </c>
      <c r="S54" s="175">
        <f xml:space="preserve"> Inputs!S$289</f>
        <v>0</v>
      </c>
    </row>
    <row r="55" spans="1:19" s="50" customFormat="1">
      <c r="A55" s="54"/>
      <c r="B55" s="64"/>
      <c r="C55" s="110"/>
      <c r="D55" s="60"/>
      <c r="E55" s="175" t="str">
        <f xml:space="preserve"> Inputs!E$290</f>
        <v>NEW MODEL INPUTS - Bio resources - WRFIM (+ or -) Value Chosen - active - adjusted - real</v>
      </c>
      <c r="F55" s="175">
        <f xml:space="preserve"> Inputs!F$290</f>
        <v>0</v>
      </c>
      <c r="G55" s="175" t="str">
        <f xml:space="preserve"> Inputs!G$290</f>
        <v>£m</v>
      </c>
      <c r="H55" s="175">
        <f xml:space="preserve"> Inputs!H$290</f>
        <v>0</v>
      </c>
      <c r="I55" s="175">
        <f xml:space="preserve"> Inputs!I$290</f>
        <v>0</v>
      </c>
      <c r="J55" s="175">
        <f xml:space="preserve"> Inputs!J$290</f>
        <v>0</v>
      </c>
      <c r="K55" s="175">
        <f xml:space="preserve"> Inputs!K$290</f>
        <v>0</v>
      </c>
      <c r="L55" s="175">
        <f xml:space="preserve"> Inputs!L$290</f>
        <v>0</v>
      </c>
      <c r="M55" s="175">
        <f xml:space="preserve"> Inputs!M$290</f>
        <v>0</v>
      </c>
      <c r="N55" s="175">
        <f xml:space="preserve"> Inputs!N$290</f>
        <v>0</v>
      </c>
      <c r="O55" s="175">
        <f xml:space="preserve"> Inputs!O$290</f>
        <v>0</v>
      </c>
      <c r="P55" s="175">
        <f xml:space="preserve"> Inputs!P$290</f>
        <v>0</v>
      </c>
      <c r="Q55" s="175">
        <f xml:space="preserve"> Inputs!Q$290</f>
        <v>0</v>
      </c>
      <c r="R55" s="175">
        <f xml:space="preserve"> Inputs!R$290</f>
        <v>0</v>
      </c>
      <c r="S55" s="175">
        <f xml:space="preserve"> Inputs!S$290</f>
        <v>0</v>
      </c>
    </row>
    <row r="56" spans="1:19" s="50" customFormat="1">
      <c r="A56" s="54"/>
      <c r="B56" s="64"/>
      <c r="C56" s="110"/>
      <c r="D56" s="60"/>
      <c r="E56" s="175" t="str">
        <f xml:space="preserve"> Inputs!E$291</f>
        <v>NEW MODEL INPUTS - Dummy control - WRFIM (+ or -) Value Chosen - active - adjusted - real</v>
      </c>
      <c r="F56" s="175">
        <f xml:space="preserve"> Inputs!F$291</f>
        <v>0</v>
      </c>
      <c r="G56" s="175" t="str">
        <f xml:space="preserve"> Inputs!G$291</f>
        <v>£m</v>
      </c>
      <c r="H56" s="175">
        <f xml:space="preserve"> Inputs!H$291</f>
        <v>0</v>
      </c>
      <c r="I56" s="175">
        <f xml:space="preserve"> Inputs!I$291</f>
        <v>0</v>
      </c>
      <c r="J56" s="175">
        <f xml:space="preserve"> Inputs!J$291</f>
        <v>0</v>
      </c>
      <c r="K56" s="175">
        <f xml:space="preserve"> Inputs!K$291</f>
        <v>0</v>
      </c>
      <c r="L56" s="175">
        <f xml:space="preserve"> Inputs!L$291</f>
        <v>0</v>
      </c>
      <c r="M56" s="175">
        <f xml:space="preserve"> Inputs!M$291</f>
        <v>0</v>
      </c>
      <c r="N56" s="175">
        <f xml:space="preserve"> Inputs!N$291</f>
        <v>0</v>
      </c>
      <c r="O56" s="175">
        <f xml:space="preserve"> Inputs!O$291</f>
        <v>0</v>
      </c>
      <c r="P56" s="175">
        <f xml:space="preserve"> Inputs!P$291</f>
        <v>0</v>
      </c>
      <c r="Q56" s="175">
        <f xml:space="preserve"> Inputs!Q$291</f>
        <v>0</v>
      </c>
      <c r="R56" s="175">
        <f xml:space="preserve"> Inputs!R$291</f>
        <v>0</v>
      </c>
      <c r="S56" s="175">
        <f xml:space="preserve"> Inputs!S$291</f>
        <v>0</v>
      </c>
    </row>
    <row r="57" spans="1:19" s="50" customFormat="1">
      <c r="A57" s="54"/>
      <c r="B57" s="64"/>
      <c r="C57" s="110"/>
      <c r="D57" s="60"/>
      <c r="H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</row>
    <row r="58" spans="1:19" s="50" customFormat="1">
      <c r="A58" s="54"/>
      <c r="B58" s="64"/>
      <c r="C58" s="110"/>
      <c r="D58" s="60"/>
      <c r="E58" s="50" t="s">
        <v>185</v>
      </c>
      <c r="G58" s="50" t="s">
        <v>129</v>
      </c>
      <c r="H58" s="160">
        <f>SUM(J58:S58)</f>
        <v>0</v>
      </c>
      <c r="J58" s="160">
        <f>J46-J52</f>
        <v>0</v>
      </c>
      <c r="K58" s="160">
        <f t="shared" ref="K58:S58" si="8">K46-K52</f>
        <v>0</v>
      </c>
      <c r="L58" s="160">
        <f t="shared" si="8"/>
        <v>0</v>
      </c>
      <c r="M58" s="160">
        <f t="shared" si="8"/>
        <v>0</v>
      </c>
      <c r="N58" s="160">
        <f t="shared" si="8"/>
        <v>0</v>
      </c>
      <c r="O58" s="160">
        <f t="shared" si="8"/>
        <v>0</v>
      </c>
      <c r="P58" s="160">
        <f t="shared" si="8"/>
        <v>0</v>
      </c>
      <c r="Q58" s="160">
        <f t="shared" si="8"/>
        <v>0</v>
      </c>
      <c r="R58" s="160">
        <f t="shared" si="8"/>
        <v>0</v>
      </c>
      <c r="S58" s="160">
        <f t="shared" si="8"/>
        <v>0</v>
      </c>
    </row>
    <row r="59" spans="1:19" s="50" customFormat="1">
      <c r="A59" s="54"/>
      <c r="B59" s="64"/>
      <c r="C59" s="110"/>
      <c r="D59" s="60"/>
      <c r="E59" s="50" t="s">
        <v>186</v>
      </c>
      <c r="G59" s="50" t="s">
        <v>129</v>
      </c>
      <c r="H59" s="160">
        <f>SUM(J59:S59)</f>
        <v>-0.28010227297035106</v>
      </c>
      <c r="J59" s="160">
        <f t="shared" ref="J59:S59" si="9">J47-J53</f>
        <v>0</v>
      </c>
      <c r="K59" s="160">
        <f t="shared" si="9"/>
        <v>0</v>
      </c>
      <c r="L59" s="160">
        <f t="shared" si="9"/>
        <v>-2.5463842997304642E-2</v>
      </c>
      <c r="M59" s="160">
        <f t="shared" si="9"/>
        <v>-2.5463842997304642E-2</v>
      </c>
      <c r="N59" s="160">
        <f t="shared" si="9"/>
        <v>-2.5463842997304642E-2</v>
      </c>
      <c r="O59" s="160">
        <f t="shared" si="9"/>
        <v>-0.10185537198921857</v>
      </c>
      <c r="P59" s="160">
        <f t="shared" si="9"/>
        <v>-0.10185537198921857</v>
      </c>
      <c r="Q59" s="160">
        <f t="shared" si="9"/>
        <v>0</v>
      </c>
      <c r="R59" s="160">
        <f t="shared" si="9"/>
        <v>0</v>
      </c>
      <c r="S59" s="160">
        <f t="shared" si="9"/>
        <v>0</v>
      </c>
    </row>
    <row r="60" spans="1:19" s="50" customFormat="1">
      <c r="A60" s="54"/>
      <c r="B60" s="64"/>
      <c r="C60" s="110"/>
      <c r="D60" s="60"/>
      <c r="E60" s="50" t="s">
        <v>187</v>
      </c>
      <c r="G60" s="50" t="s">
        <v>129</v>
      </c>
      <c r="H60" s="160">
        <f>SUM(J60:S60)</f>
        <v>0.36308579199404156</v>
      </c>
      <c r="J60" s="160">
        <f t="shared" ref="J60:S60" si="10">J48-J54</f>
        <v>0</v>
      </c>
      <c r="K60" s="160">
        <f t="shared" si="10"/>
        <v>0</v>
      </c>
      <c r="L60" s="160">
        <f t="shared" si="10"/>
        <v>3.3007799272185556E-2</v>
      </c>
      <c r="M60" s="160">
        <f t="shared" si="10"/>
        <v>3.3007799272185556E-2</v>
      </c>
      <c r="N60" s="160">
        <f t="shared" si="10"/>
        <v>3.3007799272185556E-2</v>
      </c>
      <c r="O60" s="160">
        <f t="shared" si="10"/>
        <v>0.13203119708874245</v>
      </c>
      <c r="P60" s="160">
        <f t="shared" si="10"/>
        <v>0.13203119708874245</v>
      </c>
      <c r="Q60" s="160">
        <f t="shared" si="10"/>
        <v>0</v>
      </c>
      <c r="R60" s="160">
        <f t="shared" si="10"/>
        <v>0</v>
      </c>
      <c r="S60" s="160">
        <f t="shared" si="10"/>
        <v>0</v>
      </c>
    </row>
    <row r="61" spans="1:19" s="50" customFormat="1">
      <c r="A61" s="54"/>
      <c r="B61" s="64"/>
      <c r="C61" s="110"/>
      <c r="D61" s="60"/>
      <c r="E61" s="50" t="s">
        <v>188</v>
      </c>
      <c r="G61" s="50" t="s">
        <v>129</v>
      </c>
      <c r="H61" s="160">
        <f>SUM(J61:S61)</f>
        <v>0</v>
      </c>
      <c r="J61" s="160">
        <f t="shared" ref="J61:S61" si="11">J49-J55</f>
        <v>0</v>
      </c>
      <c r="K61" s="160">
        <f t="shared" si="11"/>
        <v>0</v>
      </c>
      <c r="L61" s="160">
        <f t="shared" si="11"/>
        <v>0</v>
      </c>
      <c r="M61" s="160">
        <f t="shared" si="11"/>
        <v>0</v>
      </c>
      <c r="N61" s="160">
        <f t="shared" si="11"/>
        <v>0</v>
      </c>
      <c r="O61" s="160">
        <f t="shared" si="11"/>
        <v>0</v>
      </c>
      <c r="P61" s="160">
        <f t="shared" si="11"/>
        <v>0</v>
      </c>
      <c r="Q61" s="160">
        <f t="shared" si="11"/>
        <v>0</v>
      </c>
      <c r="R61" s="160">
        <f t="shared" si="11"/>
        <v>0</v>
      </c>
      <c r="S61" s="160">
        <f t="shared" si="11"/>
        <v>0</v>
      </c>
    </row>
    <row r="62" spans="1:19" s="50" customFormat="1">
      <c r="A62" s="54"/>
      <c r="B62" s="64"/>
      <c r="C62" s="110"/>
      <c r="D62" s="60"/>
      <c r="E62" s="50" t="s">
        <v>189</v>
      </c>
      <c r="G62" s="50" t="s">
        <v>129</v>
      </c>
      <c r="H62" s="160">
        <f>SUM(J62:S62)</f>
        <v>0</v>
      </c>
      <c r="J62" s="160">
        <f t="shared" ref="J62:S62" si="12">J50-J56</f>
        <v>0</v>
      </c>
      <c r="K62" s="160">
        <f t="shared" si="12"/>
        <v>0</v>
      </c>
      <c r="L62" s="160">
        <f t="shared" si="12"/>
        <v>0</v>
      </c>
      <c r="M62" s="160">
        <f t="shared" si="12"/>
        <v>0</v>
      </c>
      <c r="N62" s="160">
        <f t="shared" si="12"/>
        <v>0</v>
      </c>
      <c r="O62" s="160">
        <f t="shared" si="12"/>
        <v>0</v>
      </c>
      <c r="P62" s="160">
        <f t="shared" si="12"/>
        <v>0</v>
      </c>
      <c r="Q62" s="160">
        <f t="shared" si="12"/>
        <v>0</v>
      </c>
      <c r="R62" s="160">
        <f t="shared" si="12"/>
        <v>0</v>
      </c>
      <c r="S62" s="160">
        <f t="shared" si="12"/>
        <v>0</v>
      </c>
    </row>
    <row r="63" spans="1:19" s="50" customFormat="1">
      <c r="A63" s="54"/>
      <c r="B63" s="64"/>
      <c r="C63" s="110"/>
      <c r="D63" s="60"/>
      <c r="H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</row>
    <row r="64" spans="1:19" s="50" customFormat="1">
      <c r="A64" s="54" t="s">
        <v>190</v>
      </c>
      <c r="B64" s="64"/>
      <c r="C64" s="110"/>
      <c r="D64" s="60"/>
    </row>
    <row r="65" spans="1:19" s="175" customFormat="1">
      <c r="A65" s="171"/>
      <c r="B65" s="172"/>
      <c r="C65" s="173"/>
      <c r="D65" s="174"/>
      <c r="E65" s="175" t="str">
        <f xml:space="preserve"> Inputs!E$31</f>
        <v>Financing cost index</v>
      </c>
      <c r="F65" s="175">
        <f xml:space="preserve"> Inputs!F$31</f>
        <v>0</v>
      </c>
      <c r="G65" s="175" t="str">
        <f xml:space="preserve"> Inputs!G$31</f>
        <v>Index</v>
      </c>
      <c r="H65" s="175">
        <f xml:space="preserve"> Inputs!H$31</f>
        <v>0</v>
      </c>
      <c r="I65" s="175">
        <f xml:space="preserve"> Inputs!I$31</f>
        <v>0</v>
      </c>
      <c r="J65" s="175">
        <f xml:space="preserve"> Inputs!J$31</f>
        <v>0</v>
      </c>
      <c r="K65" s="175">
        <f xml:space="preserve"> Inputs!K$31</f>
        <v>0</v>
      </c>
      <c r="L65" s="175">
        <f xml:space="preserve"> Inputs!L$31</f>
        <v>4</v>
      </c>
      <c r="M65" s="175">
        <f xml:space="preserve"> Inputs!M$31</f>
        <v>3</v>
      </c>
      <c r="N65" s="175">
        <f xml:space="preserve"> Inputs!N$31</f>
        <v>2</v>
      </c>
      <c r="O65" s="175">
        <f xml:space="preserve"> Inputs!O$31</f>
        <v>1</v>
      </c>
      <c r="P65" s="175">
        <f xml:space="preserve"> Inputs!P$31</f>
        <v>0</v>
      </c>
      <c r="Q65" s="175">
        <f xml:space="preserve"> Inputs!Q$31</f>
        <v>0</v>
      </c>
      <c r="R65" s="175">
        <f xml:space="preserve"> Inputs!R$31</f>
        <v>0</v>
      </c>
      <c r="S65" s="175">
        <f xml:space="preserve"> Inputs!S$31</f>
        <v>0</v>
      </c>
    </row>
    <row r="66" spans="1:19" s="175" customFormat="1">
      <c r="A66" s="171"/>
      <c r="B66" s="172"/>
      <c r="C66" s="173"/>
      <c r="D66" s="174"/>
      <c r="E66" s="175" t="str">
        <f xml:space="preserve"> Inputs!E$25</f>
        <v>WACC - WR</v>
      </c>
      <c r="F66" s="176">
        <f xml:space="preserve"> Inputs!F$25</f>
        <v>2.9195763820156317E-2</v>
      </c>
      <c r="G66" s="175" t="str">
        <f xml:space="preserve"> Inputs!G$25</f>
        <v>%</v>
      </c>
    </row>
    <row r="67" spans="1:19" s="50" customFormat="1">
      <c r="A67" s="54"/>
      <c r="B67" s="64"/>
      <c r="C67" s="110"/>
      <c r="D67" s="60"/>
      <c r="E67" s="50" t="s">
        <v>191</v>
      </c>
      <c r="G67" s="50" t="s">
        <v>192</v>
      </c>
      <c r="J67" s="163">
        <f>(1+$F66) ^ J65</f>
        <v>1</v>
      </c>
      <c r="K67" s="163">
        <f t="shared" ref="K67:S67" si="13">(1+$F66) ^ K65</f>
        <v>1</v>
      </c>
      <c r="L67" s="163">
        <f t="shared" si="13"/>
        <v>1.1219976826191176</v>
      </c>
      <c r="M67" s="163">
        <f t="shared" si="13"/>
        <v>1.0901693555893588</v>
      </c>
      <c r="N67" s="163">
        <f t="shared" si="13"/>
        <v>1.059243920265355</v>
      </c>
      <c r="O67" s="163">
        <f t="shared" si="13"/>
        <v>1.0291957638201563</v>
      </c>
      <c r="P67" s="163">
        <f t="shared" si="13"/>
        <v>1</v>
      </c>
      <c r="Q67" s="163">
        <f t="shared" si="13"/>
        <v>1</v>
      </c>
      <c r="R67" s="163">
        <f t="shared" si="13"/>
        <v>1</v>
      </c>
      <c r="S67" s="163">
        <f t="shared" si="13"/>
        <v>1</v>
      </c>
    </row>
    <row r="68" spans="1:19" s="50" customFormat="1">
      <c r="A68" s="54"/>
      <c r="B68" s="64"/>
      <c r="C68" s="110"/>
      <c r="D68" s="60"/>
    </row>
    <row r="69" spans="1:19" s="175" customFormat="1">
      <c r="A69" s="171"/>
      <c r="B69" s="172"/>
      <c r="C69" s="173"/>
      <c r="D69" s="174"/>
      <c r="E69" s="175" t="str">
        <f xml:space="preserve"> Inputs!E$31</f>
        <v>Financing cost index</v>
      </c>
      <c r="F69" s="175">
        <f xml:space="preserve"> Inputs!F$31</f>
        <v>0</v>
      </c>
      <c r="G69" s="175" t="str">
        <f xml:space="preserve"> Inputs!G$31</f>
        <v>Index</v>
      </c>
      <c r="H69" s="175">
        <f xml:space="preserve"> Inputs!H$31</f>
        <v>0</v>
      </c>
      <c r="I69" s="175">
        <f xml:space="preserve"> Inputs!I$31</f>
        <v>0</v>
      </c>
      <c r="J69" s="175">
        <f xml:space="preserve"> Inputs!J$31</f>
        <v>0</v>
      </c>
      <c r="K69" s="175">
        <f xml:space="preserve"> Inputs!K$31</f>
        <v>0</v>
      </c>
      <c r="L69" s="175">
        <f xml:space="preserve"> Inputs!L$31</f>
        <v>4</v>
      </c>
      <c r="M69" s="175">
        <f xml:space="preserve"> Inputs!M$31</f>
        <v>3</v>
      </c>
      <c r="N69" s="175">
        <f xml:space="preserve"> Inputs!N$31</f>
        <v>2</v>
      </c>
      <c r="O69" s="175">
        <f xml:space="preserve"> Inputs!O$31</f>
        <v>1</v>
      </c>
      <c r="P69" s="175">
        <f xml:space="preserve"> Inputs!P$31</f>
        <v>0</v>
      </c>
      <c r="Q69" s="175">
        <f xml:space="preserve"> Inputs!Q$31</f>
        <v>0</v>
      </c>
      <c r="R69" s="175">
        <f xml:space="preserve"> Inputs!R$31</f>
        <v>0</v>
      </c>
      <c r="S69" s="175">
        <f xml:space="preserve"> Inputs!S$31</f>
        <v>0</v>
      </c>
    </row>
    <row r="70" spans="1:19" s="175" customFormat="1">
      <c r="A70" s="171"/>
      <c r="B70" s="172"/>
      <c r="C70" s="173"/>
      <c r="D70" s="174"/>
      <c r="E70" s="175" t="str">
        <f xml:space="preserve"> Inputs!E$26</f>
        <v>WACC - WN</v>
      </c>
      <c r="F70" s="176">
        <f xml:space="preserve"> Inputs!F$26</f>
        <v>2.9195763820156317E-2</v>
      </c>
      <c r="G70" s="175" t="str">
        <f xml:space="preserve"> Inputs!G$26</f>
        <v>%</v>
      </c>
    </row>
    <row r="71" spans="1:19" s="50" customFormat="1">
      <c r="A71" s="54"/>
      <c r="B71" s="64"/>
      <c r="C71" s="110"/>
      <c r="D71" s="60"/>
      <c r="E71" s="50" t="s">
        <v>193</v>
      </c>
      <c r="G71" s="50" t="s">
        <v>192</v>
      </c>
      <c r="J71" s="163">
        <f t="shared" ref="J71:S71" si="14">(1+$F70) ^ J69</f>
        <v>1</v>
      </c>
      <c r="K71" s="163">
        <f t="shared" si="14"/>
        <v>1</v>
      </c>
      <c r="L71" s="163">
        <f t="shared" si="14"/>
        <v>1.1219976826191176</v>
      </c>
      <c r="M71" s="163">
        <f t="shared" si="14"/>
        <v>1.0901693555893588</v>
      </c>
      <c r="N71" s="163">
        <f t="shared" si="14"/>
        <v>1.059243920265355</v>
      </c>
      <c r="O71" s="163">
        <f t="shared" si="14"/>
        <v>1.0291957638201563</v>
      </c>
      <c r="P71" s="163">
        <f t="shared" si="14"/>
        <v>1</v>
      </c>
      <c r="Q71" s="163">
        <f t="shared" si="14"/>
        <v>1</v>
      </c>
      <c r="R71" s="163">
        <f t="shared" si="14"/>
        <v>1</v>
      </c>
      <c r="S71" s="163">
        <f t="shared" si="14"/>
        <v>1</v>
      </c>
    </row>
    <row r="72" spans="1:19" s="50" customFormat="1">
      <c r="A72" s="54"/>
      <c r="B72" s="64"/>
      <c r="C72" s="110"/>
      <c r="D72" s="60"/>
    </row>
    <row r="73" spans="1:19" s="175" customFormat="1">
      <c r="A73" s="171"/>
      <c r="B73" s="172"/>
      <c r="C73" s="173"/>
      <c r="D73" s="174"/>
      <c r="E73" s="175" t="str">
        <f xml:space="preserve"> Inputs!E$31</f>
        <v>Financing cost index</v>
      </c>
      <c r="F73" s="175">
        <f xml:space="preserve"> Inputs!F$31</f>
        <v>0</v>
      </c>
      <c r="G73" s="175" t="str">
        <f xml:space="preserve"> Inputs!G$31</f>
        <v>Index</v>
      </c>
      <c r="H73" s="175">
        <f xml:space="preserve"> Inputs!H$31</f>
        <v>0</v>
      </c>
      <c r="I73" s="175">
        <f xml:space="preserve"> Inputs!I$31</f>
        <v>0</v>
      </c>
      <c r="J73" s="175">
        <f xml:space="preserve"> Inputs!J$31</f>
        <v>0</v>
      </c>
      <c r="K73" s="175">
        <f xml:space="preserve"> Inputs!K$31</f>
        <v>0</v>
      </c>
      <c r="L73" s="175">
        <f xml:space="preserve"> Inputs!L$31</f>
        <v>4</v>
      </c>
      <c r="M73" s="175">
        <f xml:space="preserve"> Inputs!M$31</f>
        <v>3</v>
      </c>
      <c r="N73" s="175">
        <f xml:space="preserve"> Inputs!N$31</f>
        <v>2</v>
      </c>
      <c r="O73" s="175">
        <f xml:space="preserve"> Inputs!O$31</f>
        <v>1</v>
      </c>
      <c r="P73" s="175">
        <f xml:space="preserve"> Inputs!P$31</f>
        <v>0</v>
      </c>
      <c r="Q73" s="175">
        <f xml:space="preserve"> Inputs!Q$31</f>
        <v>0</v>
      </c>
      <c r="R73" s="175">
        <f xml:space="preserve"> Inputs!R$31</f>
        <v>0</v>
      </c>
      <c r="S73" s="175">
        <f xml:space="preserve"> Inputs!S$31</f>
        <v>0</v>
      </c>
    </row>
    <row r="74" spans="1:19" s="175" customFormat="1">
      <c r="A74" s="171"/>
      <c r="B74" s="172"/>
      <c r="C74" s="173"/>
      <c r="D74" s="174"/>
      <c r="E74" s="175" t="str">
        <f xml:space="preserve"> Inputs!E$27</f>
        <v>WACC - WWN</v>
      </c>
      <c r="F74" s="176">
        <f xml:space="preserve"> Inputs!F$27</f>
        <v>2.9195763820156317E-2</v>
      </c>
      <c r="G74" s="175" t="str">
        <f xml:space="preserve"> Inputs!G$27</f>
        <v>%</v>
      </c>
    </row>
    <row r="75" spans="1:19" s="50" customFormat="1">
      <c r="A75" s="54"/>
      <c r="B75" s="64"/>
      <c r="C75" s="110"/>
      <c r="D75" s="60"/>
      <c r="E75" s="50" t="s">
        <v>194</v>
      </c>
      <c r="G75" s="50" t="s">
        <v>192</v>
      </c>
      <c r="J75" s="163">
        <f t="shared" ref="J75:S75" si="15">(1+$F74) ^ J73</f>
        <v>1</v>
      </c>
      <c r="K75" s="163">
        <f t="shared" si="15"/>
        <v>1</v>
      </c>
      <c r="L75" s="163">
        <f t="shared" si="15"/>
        <v>1.1219976826191176</v>
      </c>
      <c r="M75" s="163">
        <f t="shared" si="15"/>
        <v>1.0901693555893588</v>
      </c>
      <c r="N75" s="163">
        <f t="shared" si="15"/>
        <v>1.059243920265355</v>
      </c>
      <c r="O75" s="163">
        <f t="shared" si="15"/>
        <v>1.0291957638201563</v>
      </c>
      <c r="P75" s="163">
        <f t="shared" si="15"/>
        <v>1</v>
      </c>
      <c r="Q75" s="163">
        <f t="shared" si="15"/>
        <v>1</v>
      </c>
      <c r="R75" s="163">
        <f t="shared" si="15"/>
        <v>1</v>
      </c>
      <c r="S75" s="163">
        <f t="shared" si="15"/>
        <v>1</v>
      </c>
    </row>
    <row r="76" spans="1:19" s="50" customFormat="1">
      <c r="A76" s="54"/>
      <c r="B76" s="64"/>
      <c r="C76" s="110"/>
      <c r="D76" s="60"/>
    </row>
    <row r="77" spans="1:19" s="175" customFormat="1">
      <c r="A77" s="171"/>
      <c r="B77" s="172"/>
      <c r="C77" s="173"/>
      <c r="D77" s="174"/>
      <c r="E77" s="175" t="str">
        <f xml:space="preserve"> Inputs!E$31</f>
        <v>Financing cost index</v>
      </c>
      <c r="F77" s="175">
        <f xml:space="preserve"> Inputs!F$31</f>
        <v>0</v>
      </c>
      <c r="G77" s="175" t="str">
        <f xml:space="preserve"> Inputs!G$31</f>
        <v>Index</v>
      </c>
      <c r="H77" s="175">
        <f xml:space="preserve"> Inputs!H$31</f>
        <v>0</v>
      </c>
      <c r="I77" s="175">
        <f xml:space="preserve"> Inputs!I$31</f>
        <v>0</v>
      </c>
      <c r="J77" s="175">
        <f xml:space="preserve"> Inputs!J$31</f>
        <v>0</v>
      </c>
      <c r="K77" s="175">
        <f xml:space="preserve"> Inputs!K$31</f>
        <v>0</v>
      </c>
      <c r="L77" s="175">
        <f xml:space="preserve"> Inputs!L$31</f>
        <v>4</v>
      </c>
      <c r="M77" s="175">
        <f xml:space="preserve"> Inputs!M$31</f>
        <v>3</v>
      </c>
      <c r="N77" s="175">
        <f xml:space="preserve"> Inputs!N$31</f>
        <v>2</v>
      </c>
      <c r="O77" s="175">
        <f xml:space="preserve"> Inputs!O$31</f>
        <v>1</v>
      </c>
      <c r="P77" s="175">
        <f xml:space="preserve"> Inputs!P$31</f>
        <v>0</v>
      </c>
      <c r="Q77" s="175">
        <f xml:space="preserve"> Inputs!Q$31</f>
        <v>0</v>
      </c>
      <c r="R77" s="175">
        <f xml:space="preserve"> Inputs!R$31</f>
        <v>0</v>
      </c>
      <c r="S77" s="175">
        <f xml:space="preserve"> Inputs!S$31</f>
        <v>0</v>
      </c>
    </row>
    <row r="78" spans="1:19" s="175" customFormat="1">
      <c r="A78" s="171"/>
      <c r="B78" s="172"/>
      <c r="C78" s="173"/>
      <c r="D78" s="174"/>
      <c r="E78" s="175" t="str">
        <f xml:space="preserve"> Inputs!E$28</f>
        <v>WACC - BR</v>
      </c>
      <c r="F78" s="176">
        <f xml:space="preserve"> Inputs!F$28</f>
        <v>2.9195763820156317E-2</v>
      </c>
      <c r="G78" s="175" t="str">
        <f xml:space="preserve"> Inputs!G$28</f>
        <v>%</v>
      </c>
    </row>
    <row r="79" spans="1:19" s="50" customFormat="1">
      <c r="A79" s="54"/>
      <c r="B79" s="64"/>
      <c r="C79" s="110"/>
      <c r="D79" s="60"/>
      <c r="E79" s="50" t="s">
        <v>195</v>
      </c>
      <c r="G79" s="50" t="s">
        <v>192</v>
      </c>
      <c r="J79" s="163">
        <f t="shared" ref="J79:S79" si="16">(1+$F78) ^ J77</f>
        <v>1</v>
      </c>
      <c r="K79" s="163">
        <f t="shared" si="16"/>
        <v>1</v>
      </c>
      <c r="L79" s="163">
        <f t="shared" si="16"/>
        <v>1.1219976826191176</v>
      </c>
      <c r="M79" s="163">
        <f t="shared" si="16"/>
        <v>1.0901693555893588</v>
      </c>
      <c r="N79" s="163">
        <f t="shared" si="16"/>
        <v>1.059243920265355</v>
      </c>
      <c r="O79" s="163">
        <f t="shared" si="16"/>
        <v>1.0291957638201563</v>
      </c>
      <c r="P79" s="163">
        <f t="shared" si="16"/>
        <v>1</v>
      </c>
      <c r="Q79" s="163">
        <f t="shared" si="16"/>
        <v>1</v>
      </c>
      <c r="R79" s="163">
        <f t="shared" si="16"/>
        <v>1</v>
      </c>
      <c r="S79" s="163">
        <f t="shared" si="16"/>
        <v>1</v>
      </c>
    </row>
    <row r="80" spans="1:19" s="50" customFormat="1">
      <c r="A80" s="54"/>
      <c r="B80" s="64"/>
      <c r="C80" s="110"/>
      <c r="D80" s="60"/>
    </row>
    <row r="81" spans="1:19" s="175" customFormat="1">
      <c r="A81" s="171"/>
      <c r="B81" s="172"/>
      <c r="C81" s="173"/>
      <c r="D81" s="174"/>
      <c r="E81" s="175" t="str">
        <f xml:space="preserve"> Inputs!E$31</f>
        <v>Financing cost index</v>
      </c>
      <c r="F81" s="175">
        <f xml:space="preserve"> Inputs!F$31</f>
        <v>0</v>
      </c>
      <c r="G81" s="175" t="str">
        <f xml:space="preserve"> Inputs!G$31</f>
        <v>Index</v>
      </c>
      <c r="H81" s="175">
        <f xml:space="preserve"> Inputs!H$31</f>
        <v>0</v>
      </c>
      <c r="I81" s="175">
        <f xml:space="preserve"> Inputs!I$31</f>
        <v>0</v>
      </c>
      <c r="J81" s="175">
        <f xml:space="preserve"> Inputs!J$31</f>
        <v>0</v>
      </c>
      <c r="K81" s="175">
        <f xml:space="preserve"> Inputs!K$31</f>
        <v>0</v>
      </c>
      <c r="L81" s="175">
        <f xml:space="preserve"> Inputs!L$31</f>
        <v>4</v>
      </c>
      <c r="M81" s="175">
        <f xml:space="preserve"> Inputs!M$31</f>
        <v>3</v>
      </c>
      <c r="N81" s="175">
        <f xml:space="preserve"> Inputs!N$31</f>
        <v>2</v>
      </c>
      <c r="O81" s="175">
        <f xml:space="preserve"> Inputs!O$31</f>
        <v>1</v>
      </c>
      <c r="P81" s="175">
        <f xml:space="preserve"> Inputs!P$31</f>
        <v>0</v>
      </c>
      <c r="Q81" s="175">
        <f xml:space="preserve"> Inputs!Q$31</f>
        <v>0</v>
      </c>
      <c r="R81" s="175">
        <f xml:space="preserve"> Inputs!R$31</f>
        <v>0</v>
      </c>
      <c r="S81" s="175">
        <f xml:space="preserve"> Inputs!S$31</f>
        <v>0</v>
      </c>
    </row>
    <row r="82" spans="1:19" s="175" customFormat="1">
      <c r="A82" s="171"/>
      <c r="B82" s="172"/>
      <c r="C82" s="173"/>
      <c r="D82" s="174"/>
      <c r="E82" s="175" t="str">
        <f xml:space="preserve"> Inputs!E$29</f>
        <v>WACC - DMMY</v>
      </c>
      <c r="F82" s="176">
        <f xml:space="preserve"> Inputs!F$29</f>
        <v>2.9195763820156317E-2</v>
      </c>
      <c r="G82" s="175" t="str">
        <f xml:space="preserve"> Inputs!G$29</f>
        <v>%</v>
      </c>
    </row>
    <row r="83" spans="1:19" s="50" customFormat="1">
      <c r="A83" s="54"/>
      <c r="B83" s="64"/>
      <c r="C83" s="110"/>
      <c r="D83" s="60"/>
      <c r="E83" s="50" t="s">
        <v>196</v>
      </c>
      <c r="G83" s="50" t="s">
        <v>192</v>
      </c>
      <c r="J83" s="163">
        <f t="shared" ref="J83:S83" si="17">(1+$F82) ^ J81</f>
        <v>1</v>
      </c>
      <c r="K83" s="163">
        <f t="shared" si="17"/>
        <v>1</v>
      </c>
      <c r="L83" s="163">
        <f t="shared" si="17"/>
        <v>1.1219976826191176</v>
      </c>
      <c r="M83" s="163">
        <f t="shared" si="17"/>
        <v>1.0901693555893588</v>
      </c>
      <c r="N83" s="163">
        <f t="shared" si="17"/>
        <v>1.059243920265355</v>
      </c>
      <c r="O83" s="163">
        <f t="shared" si="17"/>
        <v>1.0291957638201563</v>
      </c>
      <c r="P83" s="163">
        <f t="shared" si="17"/>
        <v>1</v>
      </c>
      <c r="Q83" s="163">
        <f t="shared" si="17"/>
        <v>1</v>
      </c>
      <c r="R83" s="163">
        <f t="shared" si="17"/>
        <v>1</v>
      </c>
      <c r="S83" s="163">
        <f t="shared" si="17"/>
        <v>1</v>
      </c>
    </row>
    <row r="84" spans="1:19" s="50" customFormat="1">
      <c r="A84" s="54"/>
      <c r="B84" s="64"/>
      <c r="C84" s="110"/>
      <c r="D84" s="60"/>
    </row>
    <row r="85" spans="1:19" s="50" customFormat="1">
      <c r="A85" s="54" t="s">
        <v>197</v>
      </c>
      <c r="B85" s="64"/>
      <c r="C85" s="110"/>
      <c r="D85" s="60"/>
    </row>
    <row r="86" spans="1:19" s="50" customFormat="1">
      <c r="A86" s="54"/>
      <c r="B86" s="64"/>
      <c r="C86" s="110"/>
      <c r="D86" s="60"/>
      <c r="E86" s="50" t="str">
        <f xml:space="preserve"> E$20</f>
        <v>Difference in tax revenue WR - real</v>
      </c>
      <c r="F86" s="163">
        <f t="shared" ref="F86:S86" si="18" xml:space="preserve"> F$20</f>
        <v>0</v>
      </c>
      <c r="G86" s="163" t="str">
        <f t="shared" si="18"/>
        <v>£m</v>
      </c>
      <c r="H86" s="163">
        <f t="shared" si="18"/>
        <v>-5.4022967624738296</v>
      </c>
      <c r="I86" s="163">
        <f t="shared" si="18"/>
        <v>0</v>
      </c>
      <c r="J86" s="163">
        <f t="shared" si="18"/>
        <v>0</v>
      </c>
      <c r="K86" s="163">
        <f t="shared" si="18"/>
        <v>0</v>
      </c>
      <c r="L86" s="163">
        <f t="shared" si="18"/>
        <v>-4.1563772570940793E-2</v>
      </c>
      <c r="M86" s="163">
        <f t="shared" si="18"/>
        <v>-0.58857914112715037</v>
      </c>
      <c r="N86" s="163">
        <f t="shared" si="18"/>
        <v>-0.84475156899858406</v>
      </c>
      <c r="O86" s="163">
        <f t="shared" si="18"/>
        <v>-1.9762038542161282</v>
      </c>
      <c r="P86" s="163">
        <f t="shared" si="18"/>
        <v>-1.951198425561026</v>
      </c>
      <c r="Q86" s="163">
        <f t="shared" si="18"/>
        <v>0</v>
      </c>
      <c r="R86" s="163">
        <f t="shared" si="18"/>
        <v>0</v>
      </c>
      <c r="S86" s="163">
        <f t="shared" si="18"/>
        <v>0</v>
      </c>
    </row>
    <row r="87" spans="1:19" s="50" customFormat="1">
      <c r="A87" s="54"/>
      <c r="B87" s="64"/>
      <c r="C87" s="110"/>
      <c r="D87" s="60"/>
      <c r="E87" s="157" t="str">
        <f xml:space="preserve"> Inputs!E$35</f>
        <v>Manual adjustment - WR - real</v>
      </c>
      <c r="F87" s="157">
        <f xml:space="preserve"> Inputs!F$35</f>
        <v>0</v>
      </c>
      <c r="G87" s="157" t="str">
        <f xml:space="preserve"> Inputs!G$35</f>
        <v>£m</v>
      </c>
      <c r="H87" s="157">
        <f xml:space="preserve"> Inputs!H$35</f>
        <v>0</v>
      </c>
      <c r="I87" s="157">
        <f xml:space="preserve"> Inputs!I$35</f>
        <v>0</v>
      </c>
      <c r="J87" s="157">
        <f xml:space="preserve"> Inputs!J$35</f>
        <v>0</v>
      </c>
      <c r="K87" s="157">
        <f xml:space="preserve"> Inputs!K$35</f>
        <v>0</v>
      </c>
      <c r="L87" s="157">
        <f xml:space="preserve"> Inputs!L$35</f>
        <v>0</v>
      </c>
      <c r="M87" s="157">
        <f xml:space="preserve"> Inputs!M$35</f>
        <v>0</v>
      </c>
      <c r="N87" s="157">
        <f xml:space="preserve"> Inputs!N$35</f>
        <v>0</v>
      </c>
      <c r="O87" s="157">
        <f xml:space="preserve"> Inputs!O$35</f>
        <v>0</v>
      </c>
      <c r="P87" s="157">
        <f xml:space="preserve"> Inputs!P$35</f>
        <v>0</v>
      </c>
      <c r="Q87" s="157">
        <f xml:space="preserve"> Inputs!Q$35</f>
        <v>0</v>
      </c>
      <c r="R87" s="157">
        <f xml:space="preserve"> Inputs!R$35</f>
        <v>0</v>
      </c>
      <c r="S87" s="157">
        <f xml:space="preserve"> Inputs!S$35</f>
        <v>0</v>
      </c>
    </row>
    <row r="88" spans="1:19" s="50" customFormat="1">
      <c r="A88" s="54"/>
      <c r="B88" s="64"/>
      <c r="C88" s="110"/>
      <c r="D88" s="60"/>
      <c r="E88" s="50" t="str">
        <f xml:space="preserve"> E$67</f>
        <v>Time value of money factor - WR</v>
      </c>
      <c r="F88" s="163">
        <f t="shared" ref="F88:S88" si="19" xml:space="preserve"> F$67</f>
        <v>0</v>
      </c>
      <c r="G88" s="163" t="str">
        <f t="shared" si="19"/>
        <v>Factor</v>
      </c>
      <c r="H88" s="163">
        <f t="shared" si="19"/>
        <v>0</v>
      </c>
      <c r="I88" s="163">
        <f t="shared" si="19"/>
        <v>0</v>
      </c>
      <c r="J88" s="163">
        <f t="shared" si="19"/>
        <v>1</v>
      </c>
      <c r="K88" s="163">
        <f t="shared" si="19"/>
        <v>1</v>
      </c>
      <c r="L88" s="163">
        <f t="shared" si="19"/>
        <v>1.1219976826191176</v>
      </c>
      <c r="M88" s="163">
        <f t="shared" si="19"/>
        <v>1.0901693555893588</v>
      </c>
      <c r="N88" s="163">
        <f t="shared" si="19"/>
        <v>1.059243920265355</v>
      </c>
      <c r="O88" s="163">
        <f t="shared" si="19"/>
        <v>1.0291957638201563</v>
      </c>
      <c r="P88" s="163">
        <f t="shared" si="19"/>
        <v>1</v>
      </c>
      <c r="Q88" s="163">
        <f t="shared" si="19"/>
        <v>1</v>
      </c>
      <c r="R88" s="163">
        <f t="shared" si="19"/>
        <v>1</v>
      </c>
      <c r="S88" s="163">
        <f t="shared" si="19"/>
        <v>1</v>
      </c>
    </row>
    <row r="89" spans="1:19" s="50" customFormat="1">
      <c r="A89" s="54"/>
      <c r="B89" s="64"/>
      <c r="C89" s="110"/>
      <c r="D89" s="60"/>
      <c r="E89" s="50" t="s">
        <v>198</v>
      </c>
      <c r="F89" s="163"/>
      <c r="G89" s="163" t="s">
        <v>129</v>
      </c>
      <c r="H89" s="163">
        <f>SUM(J89:S89)</f>
        <v>-5.5681824238631279</v>
      </c>
      <c r="I89" s="163"/>
      <c r="J89" s="163">
        <f t="shared" ref="J89:S89" si="20" xml:space="preserve"> SUM(J86:J87) * J88</f>
        <v>0</v>
      </c>
      <c r="K89" s="163">
        <f t="shared" si="20"/>
        <v>0</v>
      </c>
      <c r="L89" s="163">
        <f t="shared" si="20"/>
        <v>-4.6634456505503616E-2</v>
      </c>
      <c r="M89" s="163">
        <f t="shared" si="20"/>
        <v>-0.64165094299592373</v>
      </c>
      <c r="N89" s="163">
        <f t="shared" si="20"/>
        <v>-0.89479796359636965</v>
      </c>
      <c r="O89" s="163">
        <f t="shared" si="20"/>
        <v>-2.0339006352043048</v>
      </c>
      <c r="P89" s="163">
        <f t="shared" si="20"/>
        <v>-1.951198425561026</v>
      </c>
      <c r="Q89" s="163">
        <f t="shared" si="20"/>
        <v>0</v>
      </c>
      <c r="R89" s="163">
        <f t="shared" si="20"/>
        <v>0</v>
      </c>
      <c r="S89" s="163">
        <f t="shared" si="20"/>
        <v>0</v>
      </c>
    </row>
    <row r="90" spans="1:19" s="50" customFormat="1">
      <c r="A90" s="54"/>
      <c r="B90" s="64"/>
      <c r="C90" s="110"/>
      <c r="D90" s="60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</row>
    <row r="91" spans="1:19" s="50" customFormat="1">
      <c r="A91" s="54"/>
      <c r="B91" s="64"/>
      <c r="C91" s="110"/>
      <c r="D91" s="60"/>
      <c r="E91" s="50" t="str">
        <f xml:space="preserve"> E$89</f>
        <v>Revenue adjustment for WR - real</v>
      </c>
      <c r="F91" s="163">
        <f t="shared" ref="F91:S91" si="21" xml:space="preserve"> F$89</f>
        <v>0</v>
      </c>
      <c r="G91" s="163" t="str">
        <f t="shared" si="21"/>
        <v>£m</v>
      </c>
      <c r="H91" s="163">
        <f t="shared" si="21"/>
        <v>-5.5681824238631279</v>
      </c>
      <c r="I91" s="163">
        <f t="shared" si="21"/>
        <v>0</v>
      </c>
      <c r="J91" s="163">
        <f t="shared" si="21"/>
        <v>0</v>
      </c>
      <c r="K91" s="163">
        <f t="shared" si="21"/>
        <v>0</v>
      </c>
      <c r="L91" s="163">
        <f t="shared" si="21"/>
        <v>-4.6634456505503616E-2</v>
      </c>
      <c r="M91" s="163">
        <f t="shared" si="21"/>
        <v>-0.64165094299592373</v>
      </c>
      <c r="N91" s="163">
        <f t="shared" si="21"/>
        <v>-0.89479796359636965</v>
      </c>
      <c r="O91" s="163">
        <f t="shared" si="21"/>
        <v>-2.0339006352043048</v>
      </c>
      <c r="P91" s="163">
        <f t="shared" si="21"/>
        <v>-1.951198425561026</v>
      </c>
      <c r="Q91" s="163">
        <f t="shared" si="21"/>
        <v>0</v>
      </c>
      <c r="R91" s="163">
        <f t="shared" si="21"/>
        <v>0</v>
      </c>
      <c r="S91" s="163">
        <f t="shared" si="21"/>
        <v>0</v>
      </c>
    </row>
    <row r="92" spans="1:19" s="50" customFormat="1">
      <c r="A92" s="54"/>
      <c r="B92" s="64"/>
      <c r="C92" s="110"/>
      <c r="D92" s="60"/>
      <c r="E92" s="39" t="s">
        <v>199</v>
      </c>
      <c r="F92" s="296">
        <f>SUM(L91:P91)</f>
        <v>-5.5681824238631279</v>
      </c>
      <c r="G92" s="296" t="s">
        <v>129</v>
      </c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</row>
    <row r="93" spans="1:19" s="50" customFormat="1">
      <c r="A93" s="54"/>
      <c r="B93" s="64"/>
      <c r="C93" s="110"/>
      <c r="D93" s="60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</row>
    <row r="94" spans="1:19" s="50" customFormat="1">
      <c r="A94" s="54" t="s">
        <v>200</v>
      </c>
      <c r="B94" s="64"/>
      <c r="C94" s="110"/>
      <c r="D94" s="60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</row>
    <row r="95" spans="1:19" s="50" customFormat="1">
      <c r="A95" s="54"/>
      <c r="B95" s="64"/>
      <c r="C95" s="110"/>
      <c r="D95" s="60"/>
      <c r="E95" s="50" t="str">
        <f xml:space="preserve"> E$21</f>
        <v>Difference in tax revenue WN - real</v>
      </c>
      <c r="F95" s="163">
        <f t="shared" ref="F95:S95" si="22" xml:space="preserve"> F$21</f>
        <v>0</v>
      </c>
      <c r="G95" s="163" t="str">
        <f t="shared" si="22"/>
        <v>£m</v>
      </c>
      <c r="H95" s="163">
        <f t="shared" si="22"/>
        <v>-45.232873314950304</v>
      </c>
      <c r="I95" s="163">
        <f t="shared" si="22"/>
        <v>0</v>
      </c>
      <c r="J95" s="163">
        <f t="shared" si="22"/>
        <v>0</v>
      </c>
      <c r="K95" s="163">
        <f t="shared" si="22"/>
        <v>0</v>
      </c>
      <c r="L95" s="163">
        <f t="shared" si="22"/>
        <v>0.241641660303344</v>
      </c>
      <c r="M95" s="163">
        <f t="shared" si="22"/>
        <v>-8.519896721453069</v>
      </c>
      <c r="N95" s="163">
        <f t="shared" si="22"/>
        <v>-7.1646020711263692</v>
      </c>
      <c r="O95" s="163">
        <f t="shared" si="22"/>
        <v>-17.017370831840324</v>
      </c>
      <c r="P95" s="163">
        <f t="shared" si="22"/>
        <v>-12.772645350833884</v>
      </c>
      <c r="Q95" s="163">
        <f t="shared" si="22"/>
        <v>0</v>
      </c>
      <c r="R95" s="163">
        <f t="shared" si="22"/>
        <v>0</v>
      </c>
      <c r="S95" s="163">
        <f t="shared" si="22"/>
        <v>0</v>
      </c>
    </row>
    <row r="96" spans="1:19" s="50" customFormat="1">
      <c r="A96" s="54"/>
      <c r="B96" s="64"/>
      <c r="C96" s="110"/>
      <c r="D96" s="60"/>
      <c r="E96" s="157" t="str">
        <f xml:space="preserve"> Inputs!E$36</f>
        <v>Manual adjustment - WN - real</v>
      </c>
      <c r="F96" s="157">
        <f xml:space="preserve"> Inputs!F$36</f>
        <v>0</v>
      </c>
      <c r="G96" s="157" t="str">
        <f xml:space="preserve"> Inputs!G$36</f>
        <v>£m</v>
      </c>
      <c r="H96" s="157">
        <f xml:space="preserve"> Inputs!H$36</f>
        <v>0</v>
      </c>
      <c r="I96" s="157">
        <f xml:space="preserve"> Inputs!I$36</f>
        <v>0</v>
      </c>
      <c r="J96" s="157">
        <f xml:space="preserve"> Inputs!J$36</f>
        <v>0</v>
      </c>
      <c r="K96" s="157">
        <f xml:space="preserve"> Inputs!K$36</f>
        <v>0</v>
      </c>
      <c r="L96" s="157">
        <f xml:space="preserve"> Inputs!L$36</f>
        <v>0</v>
      </c>
      <c r="M96" s="157">
        <f xml:space="preserve"> Inputs!M$36</f>
        <v>0</v>
      </c>
      <c r="N96" s="157">
        <f xml:space="preserve"> Inputs!N$36</f>
        <v>0</v>
      </c>
      <c r="O96" s="157">
        <f xml:space="preserve"> Inputs!O$36</f>
        <v>0</v>
      </c>
      <c r="P96" s="157">
        <f xml:space="preserve"> Inputs!P$36</f>
        <v>0</v>
      </c>
      <c r="Q96" s="157">
        <f xml:space="preserve"> Inputs!Q$36</f>
        <v>0</v>
      </c>
      <c r="R96" s="157">
        <f xml:space="preserve"> Inputs!R$36</f>
        <v>0</v>
      </c>
      <c r="S96" s="157">
        <f xml:space="preserve"> Inputs!S$36</f>
        <v>0</v>
      </c>
    </row>
    <row r="97" spans="1:19" s="50" customFormat="1">
      <c r="A97" s="54"/>
      <c r="B97" s="64"/>
      <c r="C97" s="110"/>
      <c r="D97" s="60"/>
      <c r="E97" s="50" t="str">
        <f xml:space="preserve"> E$71</f>
        <v>Time value of money factor - WN</v>
      </c>
      <c r="F97" s="163">
        <f t="shared" ref="F97:S97" si="23" xml:space="preserve"> F$71</f>
        <v>0</v>
      </c>
      <c r="G97" s="163" t="str">
        <f t="shared" si="23"/>
        <v>Factor</v>
      </c>
      <c r="H97" s="163">
        <f t="shared" si="23"/>
        <v>0</v>
      </c>
      <c r="I97" s="163">
        <f t="shared" si="23"/>
        <v>0</v>
      </c>
      <c r="J97" s="163">
        <f t="shared" si="23"/>
        <v>1</v>
      </c>
      <c r="K97" s="163">
        <f t="shared" si="23"/>
        <v>1</v>
      </c>
      <c r="L97" s="163">
        <f t="shared" si="23"/>
        <v>1.1219976826191176</v>
      </c>
      <c r="M97" s="163">
        <f t="shared" si="23"/>
        <v>1.0901693555893588</v>
      </c>
      <c r="N97" s="163">
        <f t="shared" si="23"/>
        <v>1.059243920265355</v>
      </c>
      <c r="O97" s="163">
        <f t="shared" si="23"/>
        <v>1.0291957638201563</v>
      </c>
      <c r="P97" s="163">
        <f t="shared" si="23"/>
        <v>1</v>
      </c>
      <c r="Q97" s="163">
        <f t="shared" si="23"/>
        <v>1</v>
      </c>
      <c r="R97" s="163">
        <f t="shared" si="23"/>
        <v>1</v>
      </c>
      <c r="S97" s="163">
        <f t="shared" si="23"/>
        <v>1</v>
      </c>
    </row>
    <row r="98" spans="1:19" s="50" customFormat="1">
      <c r="A98" s="54"/>
      <c r="B98" s="64"/>
      <c r="C98" s="110"/>
      <c r="D98" s="60"/>
      <c r="E98" s="50" t="s">
        <v>201</v>
      </c>
      <c r="F98" s="163"/>
      <c r="G98" s="163" t="s">
        <v>129</v>
      </c>
      <c r="H98" s="163">
        <f>SUM(J98:S98)</f>
        <v>-46.892921442911614</v>
      </c>
      <c r="I98" s="163"/>
      <c r="J98" s="163">
        <f xml:space="preserve"> SUM(J95:J96) * J97</f>
        <v>0</v>
      </c>
      <c r="K98" s="163">
        <f t="shared" ref="K98:S98" si="24" xml:space="preserve"> SUM(K95:K96) * K97</f>
        <v>0</v>
      </c>
      <c r="L98" s="163">
        <f t="shared" si="24"/>
        <v>0.27112138288458798</v>
      </c>
      <c r="M98" s="163">
        <f t="shared" si="24"/>
        <v>-9.2881303185143835</v>
      </c>
      <c r="N98" s="163">
        <f t="shared" si="24"/>
        <v>-7.5890611849611771</v>
      </c>
      <c r="O98" s="163">
        <f t="shared" si="24"/>
        <v>-17.514205971486753</v>
      </c>
      <c r="P98" s="163">
        <f t="shared" si="24"/>
        <v>-12.772645350833884</v>
      </c>
      <c r="Q98" s="163">
        <f t="shared" si="24"/>
        <v>0</v>
      </c>
      <c r="R98" s="163">
        <f t="shared" si="24"/>
        <v>0</v>
      </c>
      <c r="S98" s="163">
        <f t="shared" si="24"/>
        <v>0</v>
      </c>
    </row>
    <row r="99" spans="1:19" s="50" customFormat="1">
      <c r="A99" s="54"/>
      <c r="B99" s="64"/>
      <c r="C99" s="110"/>
      <c r="D99" s="60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</row>
    <row r="100" spans="1:19" s="50" customFormat="1">
      <c r="A100" s="54"/>
      <c r="B100" s="64"/>
      <c r="C100" s="110"/>
      <c r="D100" s="60"/>
      <c r="E100" s="50" t="str">
        <f>E98</f>
        <v>Revenue adjustment for WN - real</v>
      </c>
      <c r="F100" s="163">
        <f t="shared" ref="F100:S100" si="25">F98</f>
        <v>0</v>
      </c>
      <c r="G100" s="163" t="str">
        <f t="shared" si="25"/>
        <v>£m</v>
      </c>
      <c r="H100" s="163">
        <f t="shared" si="25"/>
        <v>-46.892921442911614</v>
      </c>
      <c r="I100" s="163">
        <f t="shared" si="25"/>
        <v>0</v>
      </c>
      <c r="J100" s="163">
        <f t="shared" si="25"/>
        <v>0</v>
      </c>
      <c r="K100" s="163">
        <f t="shared" si="25"/>
        <v>0</v>
      </c>
      <c r="L100" s="163">
        <f t="shared" si="25"/>
        <v>0.27112138288458798</v>
      </c>
      <c r="M100" s="163">
        <f t="shared" si="25"/>
        <v>-9.2881303185143835</v>
      </c>
      <c r="N100" s="163">
        <f t="shared" si="25"/>
        <v>-7.5890611849611771</v>
      </c>
      <c r="O100" s="163">
        <f t="shared" si="25"/>
        <v>-17.514205971486753</v>
      </c>
      <c r="P100" s="163">
        <f t="shared" si="25"/>
        <v>-12.772645350833884</v>
      </c>
      <c r="Q100" s="163">
        <f t="shared" si="25"/>
        <v>0</v>
      </c>
      <c r="R100" s="163">
        <f t="shared" si="25"/>
        <v>0</v>
      </c>
      <c r="S100" s="163">
        <f t="shared" si="25"/>
        <v>0</v>
      </c>
    </row>
    <row r="101" spans="1:19" s="50" customFormat="1">
      <c r="A101" s="54"/>
      <c r="B101" s="64"/>
      <c r="C101" s="110"/>
      <c r="D101" s="60"/>
      <c r="E101" s="39" t="s">
        <v>202</v>
      </c>
      <c r="F101" s="296">
        <f>SUM(L100:P100)</f>
        <v>-46.892921442911614</v>
      </c>
      <c r="G101" s="296" t="s">
        <v>129</v>
      </c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</row>
    <row r="102" spans="1:19" s="50" customFormat="1">
      <c r="A102" s="54"/>
      <c r="B102" s="64"/>
      <c r="C102" s="110"/>
      <c r="D102" s="60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</row>
    <row r="103" spans="1:19" s="50" customFormat="1">
      <c r="A103" s="54" t="s">
        <v>203</v>
      </c>
      <c r="B103" s="64"/>
      <c r="C103" s="110"/>
      <c r="D103" s="60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</row>
    <row r="104" spans="1:19" s="50" customFormat="1">
      <c r="A104" s="54"/>
      <c r="B104" s="64"/>
      <c r="C104" s="110"/>
      <c r="D104" s="60"/>
      <c r="E104" s="50" t="str">
        <f xml:space="preserve"> E$22</f>
        <v>Difference in tax revenue WWN - real</v>
      </c>
      <c r="F104" s="163">
        <f t="shared" ref="F104:S104" si="26" xml:space="preserve"> F$22</f>
        <v>0</v>
      </c>
      <c r="G104" s="163" t="str">
        <f t="shared" si="26"/>
        <v>£m</v>
      </c>
      <c r="H104" s="163">
        <f t="shared" si="26"/>
        <v>-65.224851001202296</v>
      </c>
      <c r="I104" s="163">
        <f t="shared" si="26"/>
        <v>0</v>
      </c>
      <c r="J104" s="163">
        <f t="shared" si="26"/>
        <v>0</v>
      </c>
      <c r="K104" s="163">
        <f t="shared" si="26"/>
        <v>0</v>
      </c>
      <c r="L104" s="163">
        <f t="shared" si="26"/>
        <v>4.6812354643538612E-2</v>
      </c>
      <c r="M104" s="163">
        <f t="shared" si="26"/>
        <v>-13.653218233546646</v>
      </c>
      <c r="N104" s="163">
        <f t="shared" si="26"/>
        <v>-8.8054858269575558</v>
      </c>
      <c r="O104" s="163">
        <f t="shared" si="26"/>
        <v>-20.704574718699376</v>
      </c>
      <c r="P104" s="163">
        <f t="shared" si="26"/>
        <v>-22.108384576642262</v>
      </c>
      <c r="Q104" s="163">
        <f t="shared" si="26"/>
        <v>0</v>
      </c>
      <c r="R104" s="163">
        <f t="shared" si="26"/>
        <v>0</v>
      </c>
      <c r="S104" s="163">
        <f t="shared" si="26"/>
        <v>0</v>
      </c>
    </row>
    <row r="105" spans="1:19" s="50" customFormat="1">
      <c r="A105" s="54"/>
      <c r="B105" s="64"/>
      <c r="C105" s="110"/>
      <c r="D105" s="60"/>
      <c r="E105" s="157" t="str">
        <f xml:space="preserve"> Inputs!E$37</f>
        <v>Manual adjustment - WWN - real</v>
      </c>
      <c r="F105" s="157">
        <f xml:space="preserve"> Inputs!F$37</f>
        <v>0</v>
      </c>
      <c r="G105" s="157" t="str">
        <f xml:space="preserve"> Inputs!G$37</f>
        <v>£m</v>
      </c>
      <c r="H105" s="157">
        <f xml:space="preserve"> Inputs!H$37</f>
        <v>0</v>
      </c>
      <c r="I105" s="157">
        <f xml:space="preserve"> Inputs!I$37</f>
        <v>0</v>
      </c>
      <c r="J105" s="157">
        <f xml:space="preserve"> Inputs!J$37</f>
        <v>0</v>
      </c>
      <c r="K105" s="157">
        <f xml:space="preserve"> Inputs!K$37</f>
        <v>0</v>
      </c>
      <c r="L105" s="157">
        <f xml:space="preserve"> Inputs!L$37</f>
        <v>0</v>
      </c>
      <c r="M105" s="157">
        <f xml:space="preserve"> Inputs!M$37</f>
        <v>0</v>
      </c>
      <c r="N105" s="157">
        <f xml:space="preserve"> Inputs!N$37</f>
        <v>0</v>
      </c>
      <c r="O105" s="157">
        <f xml:space="preserve"> Inputs!O$37</f>
        <v>0</v>
      </c>
      <c r="P105" s="157">
        <f xml:space="preserve"> Inputs!P$37</f>
        <v>0</v>
      </c>
      <c r="Q105" s="157">
        <f xml:space="preserve"> Inputs!Q$37</f>
        <v>0</v>
      </c>
      <c r="R105" s="157">
        <f xml:space="preserve"> Inputs!R$37</f>
        <v>0</v>
      </c>
      <c r="S105" s="157">
        <f xml:space="preserve"> Inputs!S$37</f>
        <v>0</v>
      </c>
    </row>
    <row r="106" spans="1:19" s="50" customFormat="1">
      <c r="A106" s="54"/>
      <c r="B106" s="64"/>
      <c r="C106" s="110"/>
      <c r="D106" s="60"/>
      <c r="E106" s="50" t="str">
        <f xml:space="preserve"> E$75</f>
        <v>Time value of money factor - WWN</v>
      </c>
      <c r="F106" s="163">
        <f t="shared" ref="F106:S106" si="27" xml:space="preserve"> F$75</f>
        <v>0</v>
      </c>
      <c r="G106" s="163" t="str">
        <f t="shared" si="27"/>
        <v>Factor</v>
      </c>
      <c r="H106" s="163">
        <f t="shared" si="27"/>
        <v>0</v>
      </c>
      <c r="I106" s="163">
        <f t="shared" si="27"/>
        <v>0</v>
      </c>
      <c r="J106" s="163">
        <f t="shared" si="27"/>
        <v>1</v>
      </c>
      <c r="K106" s="163">
        <f t="shared" si="27"/>
        <v>1</v>
      </c>
      <c r="L106" s="163">
        <f t="shared" si="27"/>
        <v>1.1219976826191176</v>
      </c>
      <c r="M106" s="163">
        <f t="shared" si="27"/>
        <v>1.0901693555893588</v>
      </c>
      <c r="N106" s="163">
        <f t="shared" si="27"/>
        <v>1.059243920265355</v>
      </c>
      <c r="O106" s="163">
        <f t="shared" si="27"/>
        <v>1.0291957638201563</v>
      </c>
      <c r="P106" s="163">
        <f t="shared" si="27"/>
        <v>1</v>
      </c>
      <c r="Q106" s="163">
        <f t="shared" si="27"/>
        <v>1</v>
      </c>
      <c r="R106" s="163">
        <f t="shared" si="27"/>
        <v>1</v>
      </c>
      <c r="S106" s="163">
        <f t="shared" si="27"/>
        <v>1</v>
      </c>
    </row>
    <row r="107" spans="1:19" s="50" customFormat="1">
      <c r="A107" s="54"/>
      <c r="B107" s="64"/>
      <c r="C107" s="110"/>
      <c r="D107" s="60"/>
      <c r="E107" s="50" t="s">
        <v>204</v>
      </c>
      <c r="F107" s="163"/>
      <c r="G107" s="163" t="s">
        <v>129</v>
      </c>
      <c r="H107" s="163">
        <f>SUM(J107:S107)</f>
        <v>-67.576399265971546</v>
      </c>
      <c r="I107" s="163"/>
      <c r="J107" s="163">
        <f t="shared" ref="J107:S107" si="28" xml:space="preserve"> SUM(J104:J105) * J106</f>
        <v>0</v>
      </c>
      <c r="K107" s="163">
        <f t="shared" si="28"/>
        <v>0</v>
      </c>
      <c r="L107" s="163">
        <f t="shared" si="28"/>
        <v>5.2523353427994614E-2</v>
      </c>
      <c r="M107" s="163">
        <f t="shared" si="28"/>
        <v>-14.884320123386431</v>
      </c>
      <c r="N107" s="163">
        <f t="shared" si="28"/>
        <v>-9.3271573271875425</v>
      </c>
      <c r="O107" s="163">
        <f t="shared" si="28"/>
        <v>-21.309060592183304</v>
      </c>
      <c r="P107" s="163">
        <f t="shared" si="28"/>
        <v>-22.108384576642262</v>
      </c>
      <c r="Q107" s="163">
        <f t="shared" si="28"/>
        <v>0</v>
      </c>
      <c r="R107" s="163">
        <f t="shared" si="28"/>
        <v>0</v>
      </c>
      <c r="S107" s="163">
        <f t="shared" si="28"/>
        <v>0</v>
      </c>
    </row>
    <row r="108" spans="1:19" s="50" customFormat="1">
      <c r="A108" s="54"/>
      <c r="B108" s="64"/>
      <c r="C108" s="110"/>
      <c r="D108" s="60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</row>
    <row r="109" spans="1:19" s="50" customFormat="1">
      <c r="A109" s="54"/>
      <c r="B109" s="64"/>
      <c r="C109" s="110"/>
      <c r="D109" s="60"/>
      <c r="E109" s="50" t="str">
        <f xml:space="preserve"> E$107</f>
        <v>Revenue adjustment for WWN - real</v>
      </c>
      <c r="F109" s="163">
        <f t="shared" ref="F109:S109" si="29" xml:space="preserve"> F$107</f>
        <v>0</v>
      </c>
      <c r="G109" s="163" t="str">
        <f t="shared" si="29"/>
        <v>£m</v>
      </c>
      <c r="H109" s="163">
        <f t="shared" si="29"/>
        <v>-67.576399265971546</v>
      </c>
      <c r="I109" s="163">
        <f t="shared" si="29"/>
        <v>0</v>
      </c>
      <c r="J109" s="163">
        <f t="shared" si="29"/>
        <v>0</v>
      </c>
      <c r="K109" s="163">
        <f t="shared" si="29"/>
        <v>0</v>
      </c>
      <c r="L109" s="163">
        <f t="shared" si="29"/>
        <v>5.2523353427994614E-2</v>
      </c>
      <c r="M109" s="163">
        <f t="shared" si="29"/>
        <v>-14.884320123386431</v>
      </c>
      <c r="N109" s="163">
        <f t="shared" si="29"/>
        <v>-9.3271573271875425</v>
      </c>
      <c r="O109" s="163">
        <f t="shared" si="29"/>
        <v>-21.309060592183304</v>
      </c>
      <c r="P109" s="163">
        <f t="shared" si="29"/>
        <v>-22.108384576642262</v>
      </c>
      <c r="Q109" s="163">
        <f t="shared" si="29"/>
        <v>0</v>
      </c>
      <c r="R109" s="163">
        <f t="shared" si="29"/>
        <v>0</v>
      </c>
      <c r="S109" s="163">
        <f t="shared" si="29"/>
        <v>0</v>
      </c>
    </row>
    <row r="110" spans="1:19" s="50" customFormat="1">
      <c r="A110" s="54"/>
      <c r="B110" s="64"/>
      <c r="C110" s="110"/>
      <c r="D110" s="60"/>
      <c r="E110" s="39" t="s">
        <v>205</v>
      </c>
      <c r="F110" s="296">
        <f>SUM(L109:P109)</f>
        <v>-67.576399265971546</v>
      </c>
      <c r="G110" s="296" t="s">
        <v>129</v>
      </c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</row>
    <row r="111" spans="1:19" s="50" customFormat="1">
      <c r="A111" s="54"/>
      <c r="B111" s="64"/>
      <c r="C111" s="110"/>
      <c r="D111" s="60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</row>
    <row r="112" spans="1:19" s="50" customFormat="1">
      <c r="A112" s="54" t="s">
        <v>206</v>
      </c>
      <c r="B112" s="64"/>
      <c r="C112" s="110"/>
      <c r="D112" s="60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</row>
    <row r="113" spans="1:19" s="50" customFormat="1">
      <c r="A113" s="54"/>
      <c r="B113" s="64"/>
      <c r="C113" s="110"/>
      <c r="D113" s="60"/>
      <c r="E113" s="50" t="str">
        <f xml:space="preserve"> E$23</f>
        <v>Difference in tax revenue BR - real</v>
      </c>
      <c r="F113" s="163">
        <f t="shared" ref="F113:S113" si="30" xml:space="preserve"> F$23</f>
        <v>0</v>
      </c>
      <c r="G113" s="163" t="str">
        <f t="shared" si="30"/>
        <v>£m</v>
      </c>
      <c r="H113" s="163">
        <f t="shared" si="30"/>
        <v>-11.910728884540225</v>
      </c>
      <c r="I113" s="163">
        <f t="shared" si="30"/>
        <v>0</v>
      </c>
      <c r="J113" s="163">
        <f t="shared" si="30"/>
        <v>0</v>
      </c>
      <c r="K113" s="163">
        <f t="shared" si="30"/>
        <v>0</v>
      </c>
      <c r="L113" s="163">
        <f t="shared" si="30"/>
        <v>0.24774606338506233</v>
      </c>
      <c r="M113" s="163">
        <f t="shared" si="30"/>
        <v>-2.6711589582595181</v>
      </c>
      <c r="N113" s="163">
        <f t="shared" si="30"/>
        <v>-1.9693544397549427</v>
      </c>
      <c r="O113" s="163">
        <f t="shared" si="30"/>
        <v>-3.9673982617536954</v>
      </c>
      <c r="P113" s="163">
        <f t="shared" si="30"/>
        <v>-3.5505632881571305</v>
      </c>
      <c r="Q113" s="163">
        <f t="shared" si="30"/>
        <v>0</v>
      </c>
      <c r="R113" s="163">
        <f t="shared" si="30"/>
        <v>0</v>
      </c>
      <c r="S113" s="163">
        <f t="shared" si="30"/>
        <v>0</v>
      </c>
    </row>
    <row r="114" spans="1:19" s="50" customFormat="1">
      <c r="A114" s="54"/>
      <c r="B114" s="64"/>
      <c r="C114" s="110"/>
      <c r="D114" s="60"/>
      <c r="E114" s="157" t="str">
        <f xml:space="preserve"> Inputs!E$38</f>
        <v>Manual adjustment - BR - real</v>
      </c>
      <c r="F114" s="157">
        <f xml:space="preserve"> Inputs!F$38</f>
        <v>0</v>
      </c>
      <c r="G114" s="157" t="str">
        <f xml:space="preserve"> Inputs!G$38</f>
        <v>£m</v>
      </c>
      <c r="H114" s="157">
        <f xml:space="preserve"> Inputs!H$38</f>
        <v>0</v>
      </c>
      <c r="I114" s="157">
        <f xml:space="preserve"> Inputs!I$38</f>
        <v>0</v>
      </c>
      <c r="J114" s="157">
        <f xml:space="preserve"> Inputs!J$38</f>
        <v>0</v>
      </c>
      <c r="K114" s="157">
        <f xml:space="preserve"> Inputs!K$38</f>
        <v>0</v>
      </c>
      <c r="L114" s="157">
        <f xml:space="preserve"> Inputs!L$38</f>
        <v>0</v>
      </c>
      <c r="M114" s="157">
        <f xml:space="preserve"> Inputs!M$38</f>
        <v>0</v>
      </c>
      <c r="N114" s="157">
        <f xml:space="preserve"> Inputs!N$38</f>
        <v>0</v>
      </c>
      <c r="O114" s="157">
        <f xml:space="preserve"> Inputs!O$38</f>
        <v>0</v>
      </c>
      <c r="P114" s="157">
        <f xml:space="preserve"> Inputs!P$38</f>
        <v>0</v>
      </c>
      <c r="Q114" s="157">
        <f xml:space="preserve"> Inputs!Q$38</f>
        <v>0</v>
      </c>
      <c r="R114" s="157">
        <f xml:space="preserve"> Inputs!R$38</f>
        <v>0</v>
      </c>
      <c r="S114" s="157">
        <f xml:space="preserve"> Inputs!S$38</f>
        <v>0</v>
      </c>
    </row>
    <row r="115" spans="1:19" s="50" customFormat="1">
      <c r="A115" s="54"/>
      <c r="B115" s="64"/>
      <c r="C115" s="110"/>
      <c r="D115" s="60"/>
      <c r="E115" s="50" t="str">
        <f xml:space="preserve"> E$79</f>
        <v>Time value of money factor - BR</v>
      </c>
      <c r="F115" s="163">
        <f t="shared" ref="F115:S115" si="31" xml:space="preserve"> F$79</f>
        <v>0</v>
      </c>
      <c r="G115" s="163" t="str">
        <f t="shared" si="31"/>
        <v>Factor</v>
      </c>
      <c r="H115" s="163">
        <f t="shared" si="31"/>
        <v>0</v>
      </c>
      <c r="I115" s="163">
        <f t="shared" si="31"/>
        <v>0</v>
      </c>
      <c r="J115" s="163">
        <f t="shared" si="31"/>
        <v>1</v>
      </c>
      <c r="K115" s="163">
        <f t="shared" si="31"/>
        <v>1</v>
      </c>
      <c r="L115" s="163">
        <f t="shared" si="31"/>
        <v>1.1219976826191176</v>
      </c>
      <c r="M115" s="163">
        <f t="shared" si="31"/>
        <v>1.0901693555893588</v>
      </c>
      <c r="N115" s="163">
        <f t="shared" si="31"/>
        <v>1.059243920265355</v>
      </c>
      <c r="O115" s="163">
        <f t="shared" si="31"/>
        <v>1.0291957638201563</v>
      </c>
      <c r="P115" s="163">
        <f t="shared" si="31"/>
        <v>1</v>
      </c>
      <c r="Q115" s="163">
        <f t="shared" si="31"/>
        <v>1</v>
      </c>
      <c r="R115" s="163">
        <f t="shared" si="31"/>
        <v>1</v>
      </c>
      <c r="S115" s="163">
        <f t="shared" si="31"/>
        <v>1</v>
      </c>
    </row>
    <row r="116" spans="1:19" s="50" customFormat="1">
      <c r="A116" s="54"/>
      <c r="B116" s="64"/>
      <c r="C116" s="110"/>
      <c r="D116" s="60"/>
      <c r="E116" s="50" t="s">
        <v>207</v>
      </c>
      <c r="F116" s="163"/>
      <c r="G116" s="163" t="s">
        <v>129</v>
      </c>
      <c r="H116" s="163">
        <f>SUM(J116:S116)</f>
        <v>-12.353864620905965</v>
      </c>
      <c r="I116" s="163"/>
      <c r="J116" s="163">
        <f t="shared" ref="J116:S116" si="32" xml:space="preserve"> SUM(J113:J114) * J115</f>
        <v>0</v>
      </c>
      <c r="K116" s="163">
        <f t="shared" si="32"/>
        <v>0</v>
      </c>
      <c r="L116" s="163">
        <f t="shared" si="32"/>
        <v>0.27797050899604897</v>
      </c>
      <c r="M116" s="163">
        <f t="shared" si="32"/>
        <v>-2.9120156402025219</v>
      </c>
      <c r="N116" s="163">
        <f t="shared" si="32"/>
        <v>-2.0860267171580071</v>
      </c>
      <c r="O116" s="163">
        <f t="shared" si="32"/>
        <v>-4.0832294843843551</v>
      </c>
      <c r="P116" s="163">
        <f t="shared" si="32"/>
        <v>-3.5505632881571305</v>
      </c>
      <c r="Q116" s="163">
        <f t="shared" si="32"/>
        <v>0</v>
      </c>
      <c r="R116" s="163">
        <f t="shared" si="32"/>
        <v>0</v>
      </c>
      <c r="S116" s="163">
        <f t="shared" si="32"/>
        <v>0</v>
      </c>
    </row>
    <row r="117" spans="1:19" s="50" customFormat="1">
      <c r="A117" s="54"/>
      <c r="B117" s="64"/>
      <c r="C117" s="110"/>
      <c r="D117" s="60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</row>
    <row r="118" spans="1:19" s="50" customFormat="1">
      <c r="A118" s="54"/>
      <c r="B118" s="64"/>
      <c r="C118" s="110"/>
      <c r="D118" s="60"/>
      <c r="E118" s="50" t="str">
        <f xml:space="preserve"> E$116</f>
        <v>Revenue adjustment for BR - real</v>
      </c>
      <c r="F118" s="163">
        <f t="shared" ref="F118:S118" si="33" xml:space="preserve"> F$116</f>
        <v>0</v>
      </c>
      <c r="G118" s="163" t="str">
        <f t="shared" si="33"/>
        <v>£m</v>
      </c>
      <c r="H118" s="163">
        <f t="shared" si="33"/>
        <v>-12.353864620905965</v>
      </c>
      <c r="I118" s="163">
        <f t="shared" si="33"/>
        <v>0</v>
      </c>
      <c r="J118" s="163">
        <f t="shared" si="33"/>
        <v>0</v>
      </c>
      <c r="K118" s="163">
        <f t="shared" si="33"/>
        <v>0</v>
      </c>
      <c r="L118" s="163">
        <f t="shared" si="33"/>
        <v>0.27797050899604897</v>
      </c>
      <c r="M118" s="163">
        <f t="shared" si="33"/>
        <v>-2.9120156402025219</v>
      </c>
      <c r="N118" s="163">
        <f t="shared" si="33"/>
        <v>-2.0860267171580071</v>
      </c>
      <c r="O118" s="163">
        <f t="shared" si="33"/>
        <v>-4.0832294843843551</v>
      </c>
      <c r="P118" s="163">
        <f t="shared" si="33"/>
        <v>-3.5505632881571305</v>
      </c>
      <c r="Q118" s="163">
        <f t="shared" si="33"/>
        <v>0</v>
      </c>
      <c r="R118" s="163">
        <f t="shared" si="33"/>
        <v>0</v>
      </c>
      <c r="S118" s="163">
        <f t="shared" si="33"/>
        <v>0</v>
      </c>
    </row>
    <row r="119" spans="1:19" s="50" customFormat="1">
      <c r="A119" s="54"/>
      <c r="B119" s="64"/>
      <c r="C119" s="110"/>
      <c r="D119" s="60"/>
      <c r="E119" s="39" t="s">
        <v>208</v>
      </c>
      <c r="F119" s="296">
        <f>SUM(L118:P118)</f>
        <v>-12.353864620905965</v>
      </c>
      <c r="G119" s="296" t="s">
        <v>129</v>
      </c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</row>
    <row r="120" spans="1:19" s="50" customFormat="1">
      <c r="A120" s="54"/>
      <c r="B120" s="64"/>
      <c r="C120" s="110"/>
      <c r="D120" s="60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</row>
    <row r="121" spans="1:19" s="50" customFormat="1">
      <c r="A121" s="54" t="s">
        <v>209</v>
      </c>
      <c r="B121" s="64"/>
      <c r="C121" s="110"/>
      <c r="D121" s="60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</row>
    <row r="122" spans="1:19" s="50" customFormat="1">
      <c r="A122" s="54"/>
      <c r="B122" s="64"/>
      <c r="C122" s="110"/>
      <c r="D122" s="60"/>
      <c r="E122" s="50" t="str">
        <f xml:space="preserve"> E$24</f>
        <v>Difference in tax revenue DMMY - real</v>
      </c>
      <c r="F122" s="163">
        <f t="shared" ref="F122:S122" si="34" xml:space="preserve"> F$24</f>
        <v>0</v>
      </c>
      <c r="G122" s="163" t="str">
        <f t="shared" si="34"/>
        <v>£m</v>
      </c>
      <c r="H122" s="163">
        <f t="shared" si="34"/>
        <v>0</v>
      </c>
      <c r="I122" s="163">
        <f t="shared" si="34"/>
        <v>0</v>
      </c>
      <c r="J122" s="163">
        <f t="shared" si="34"/>
        <v>0</v>
      </c>
      <c r="K122" s="163">
        <f t="shared" si="34"/>
        <v>0</v>
      </c>
      <c r="L122" s="163">
        <f t="shared" si="34"/>
        <v>0</v>
      </c>
      <c r="M122" s="163">
        <f t="shared" si="34"/>
        <v>0</v>
      </c>
      <c r="N122" s="163">
        <f t="shared" si="34"/>
        <v>0</v>
      </c>
      <c r="O122" s="163">
        <f t="shared" si="34"/>
        <v>0</v>
      </c>
      <c r="P122" s="163">
        <f t="shared" si="34"/>
        <v>0</v>
      </c>
      <c r="Q122" s="163">
        <f t="shared" si="34"/>
        <v>0</v>
      </c>
      <c r="R122" s="163">
        <f t="shared" si="34"/>
        <v>0</v>
      </c>
      <c r="S122" s="163">
        <f t="shared" si="34"/>
        <v>0</v>
      </c>
    </row>
    <row r="123" spans="1:19" s="50" customFormat="1">
      <c r="A123" s="54"/>
      <c r="B123" s="64"/>
      <c r="C123" s="110"/>
      <c r="D123" s="60"/>
      <c r="E123" s="157" t="str">
        <f xml:space="preserve"> Inputs!E$39</f>
        <v>Manual adjustment - DMMY - real</v>
      </c>
      <c r="F123" s="157">
        <f xml:space="preserve"> Inputs!F$39</f>
        <v>0</v>
      </c>
      <c r="G123" s="157" t="str">
        <f xml:space="preserve"> Inputs!G$39</f>
        <v>£m</v>
      </c>
      <c r="H123" s="157">
        <f xml:space="preserve"> Inputs!H$39</f>
        <v>0</v>
      </c>
      <c r="I123" s="157">
        <f xml:space="preserve"> Inputs!I$39</f>
        <v>0</v>
      </c>
      <c r="J123" s="157">
        <f xml:space="preserve"> Inputs!J$39</f>
        <v>0</v>
      </c>
      <c r="K123" s="157">
        <f xml:space="preserve"> Inputs!K$39</f>
        <v>0</v>
      </c>
      <c r="L123" s="157">
        <f xml:space="preserve"> Inputs!L$39</f>
        <v>0</v>
      </c>
      <c r="M123" s="157">
        <f xml:space="preserve"> Inputs!M$39</f>
        <v>0</v>
      </c>
      <c r="N123" s="157">
        <f xml:space="preserve"> Inputs!N$39</f>
        <v>0</v>
      </c>
      <c r="O123" s="157">
        <f xml:space="preserve"> Inputs!O$39</f>
        <v>0</v>
      </c>
      <c r="P123" s="157">
        <f xml:space="preserve"> Inputs!P$39</f>
        <v>0</v>
      </c>
      <c r="Q123" s="157">
        <f xml:space="preserve"> Inputs!Q$39</f>
        <v>0</v>
      </c>
      <c r="R123" s="157">
        <f xml:space="preserve"> Inputs!R$39</f>
        <v>0</v>
      </c>
      <c r="S123" s="157">
        <f xml:space="preserve"> Inputs!S$39</f>
        <v>0</v>
      </c>
    </row>
    <row r="124" spans="1:19" s="50" customFormat="1">
      <c r="A124" s="54"/>
      <c r="B124" s="64"/>
      <c r="C124" s="110"/>
      <c r="D124" s="60"/>
      <c r="E124" s="50" t="str">
        <f xml:space="preserve"> E$83</f>
        <v>Time value of money factor - DMMY</v>
      </c>
      <c r="F124" s="163">
        <f t="shared" ref="F124:S124" si="35" xml:space="preserve"> F$83</f>
        <v>0</v>
      </c>
      <c r="G124" s="163" t="str">
        <f t="shared" si="35"/>
        <v>Factor</v>
      </c>
      <c r="H124" s="163">
        <f t="shared" si="35"/>
        <v>0</v>
      </c>
      <c r="I124" s="163">
        <f t="shared" si="35"/>
        <v>0</v>
      </c>
      <c r="J124" s="163">
        <f t="shared" si="35"/>
        <v>1</v>
      </c>
      <c r="K124" s="163">
        <f t="shared" si="35"/>
        <v>1</v>
      </c>
      <c r="L124" s="163">
        <f t="shared" si="35"/>
        <v>1.1219976826191176</v>
      </c>
      <c r="M124" s="163">
        <f t="shared" si="35"/>
        <v>1.0901693555893588</v>
      </c>
      <c r="N124" s="163">
        <f t="shared" si="35"/>
        <v>1.059243920265355</v>
      </c>
      <c r="O124" s="163">
        <f t="shared" si="35"/>
        <v>1.0291957638201563</v>
      </c>
      <c r="P124" s="163">
        <f t="shared" si="35"/>
        <v>1</v>
      </c>
      <c r="Q124" s="163">
        <f t="shared" si="35"/>
        <v>1</v>
      </c>
      <c r="R124" s="163">
        <f t="shared" si="35"/>
        <v>1</v>
      </c>
      <c r="S124" s="163">
        <f t="shared" si="35"/>
        <v>1</v>
      </c>
    </row>
    <row r="125" spans="1:19" s="50" customFormat="1">
      <c r="A125" s="54"/>
      <c r="B125" s="64"/>
      <c r="C125" s="110"/>
      <c r="D125" s="60"/>
      <c r="E125" s="50" t="s">
        <v>210</v>
      </c>
      <c r="F125" s="163"/>
      <c r="G125" s="163" t="s">
        <v>129</v>
      </c>
      <c r="H125" s="163">
        <f>SUM(J125:S125)</f>
        <v>0</v>
      </c>
      <c r="I125" s="163"/>
      <c r="J125" s="163">
        <f t="shared" ref="J125:S125" si="36" xml:space="preserve"> SUM(J122:J123) * J124</f>
        <v>0</v>
      </c>
      <c r="K125" s="163">
        <f t="shared" si="36"/>
        <v>0</v>
      </c>
      <c r="L125" s="163">
        <f t="shared" si="36"/>
        <v>0</v>
      </c>
      <c r="M125" s="163">
        <f t="shared" si="36"/>
        <v>0</v>
      </c>
      <c r="N125" s="163">
        <f t="shared" si="36"/>
        <v>0</v>
      </c>
      <c r="O125" s="163">
        <f t="shared" si="36"/>
        <v>0</v>
      </c>
      <c r="P125" s="163">
        <f t="shared" si="36"/>
        <v>0</v>
      </c>
      <c r="Q125" s="163">
        <f t="shared" si="36"/>
        <v>0</v>
      </c>
      <c r="R125" s="163">
        <f t="shared" si="36"/>
        <v>0</v>
      </c>
      <c r="S125" s="163">
        <f t="shared" si="36"/>
        <v>0</v>
      </c>
    </row>
    <row r="126" spans="1:19" s="50" customFormat="1">
      <c r="A126" s="54"/>
      <c r="B126" s="64"/>
      <c r="C126" s="110"/>
      <c r="D126" s="60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</row>
    <row r="127" spans="1:19" s="50" customFormat="1">
      <c r="A127" s="54"/>
      <c r="B127" s="64"/>
      <c r="C127" s="110"/>
      <c r="D127" s="60"/>
      <c r="E127" s="50" t="str">
        <f xml:space="preserve"> E$125</f>
        <v>Revenue adjustment for DMMY - real</v>
      </c>
      <c r="F127" s="163">
        <f t="shared" ref="F127:S127" si="37" xml:space="preserve"> F$125</f>
        <v>0</v>
      </c>
      <c r="G127" s="163" t="str">
        <f t="shared" si="37"/>
        <v>£m</v>
      </c>
      <c r="H127" s="163">
        <f t="shared" si="37"/>
        <v>0</v>
      </c>
      <c r="I127" s="163">
        <f t="shared" si="37"/>
        <v>0</v>
      </c>
      <c r="J127" s="163">
        <f t="shared" si="37"/>
        <v>0</v>
      </c>
      <c r="K127" s="163">
        <f t="shared" si="37"/>
        <v>0</v>
      </c>
      <c r="L127" s="163">
        <f t="shared" si="37"/>
        <v>0</v>
      </c>
      <c r="M127" s="163">
        <f t="shared" si="37"/>
        <v>0</v>
      </c>
      <c r="N127" s="163">
        <f t="shared" si="37"/>
        <v>0</v>
      </c>
      <c r="O127" s="163">
        <f t="shared" si="37"/>
        <v>0</v>
      </c>
      <c r="P127" s="163">
        <f t="shared" si="37"/>
        <v>0</v>
      </c>
      <c r="Q127" s="163">
        <f t="shared" si="37"/>
        <v>0</v>
      </c>
      <c r="R127" s="163">
        <f t="shared" si="37"/>
        <v>0</v>
      </c>
      <c r="S127" s="163">
        <f t="shared" si="37"/>
        <v>0</v>
      </c>
    </row>
    <row r="128" spans="1:19" s="50" customFormat="1">
      <c r="A128" s="54"/>
      <c r="B128" s="64"/>
      <c r="C128" s="110"/>
      <c r="D128" s="60"/>
      <c r="E128" s="39" t="s">
        <v>211</v>
      </c>
      <c r="F128" s="296">
        <f>SUM(L127:P127)</f>
        <v>0</v>
      </c>
      <c r="G128" s="296" t="s">
        <v>129</v>
      </c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</row>
    <row r="129" spans="1:19" s="50" customFormat="1">
      <c r="A129" s="54"/>
      <c r="B129" s="64"/>
      <c r="C129" s="110"/>
      <c r="D129" s="60"/>
    </row>
    <row r="130" spans="1:19" s="50" customFormat="1">
      <c r="A130" s="54" t="s">
        <v>212</v>
      </c>
      <c r="B130" s="64"/>
      <c r="C130" s="110"/>
      <c r="D130" s="60"/>
    </row>
    <row r="131" spans="1:19" s="50" customFormat="1">
      <c r="A131" s="54"/>
      <c r="B131" s="64"/>
      <c r="C131" s="110"/>
      <c r="D131" s="60"/>
      <c r="E131" s="156" t="str">
        <f xml:space="preserve"> Inputs!E$111</f>
        <v>FD MODEL INPUTS - Water resources - Allowed Revenues - real</v>
      </c>
      <c r="F131" s="157">
        <f xml:space="preserve"> Inputs!F$111</f>
        <v>0</v>
      </c>
      <c r="G131" s="157" t="str">
        <f xml:space="preserve"> Inputs!G$111</f>
        <v>£m</v>
      </c>
      <c r="H131" s="157">
        <f xml:space="preserve"> Inputs!H$111</f>
        <v>688.8749782359572</v>
      </c>
      <c r="I131" s="157">
        <f xml:space="preserve"> Inputs!I$111</f>
        <v>0</v>
      </c>
      <c r="J131" s="157">
        <f xml:space="preserve"> Inputs!J$111</f>
        <v>0</v>
      </c>
      <c r="K131" s="157">
        <f xml:space="preserve"> Inputs!K$111</f>
        <v>0</v>
      </c>
      <c r="L131" s="157">
        <f xml:space="preserve"> Inputs!L$111</f>
        <v>99.123752218533681</v>
      </c>
      <c r="M131" s="157">
        <f xml:space="preserve"> Inputs!M$111</f>
        <v>100.19246536781438</v>
      </c>
      <c r="N131" s="157">
        <f xml:space="preserve"> Inputs!N$111</f>
        <v>101.73206168246328</v>
      </c>
      <c r="O131" s="157">
        <f xml:space="preserve"> Inputs!O$111</f>
        <v>106.89796090075956</v>
      </c>
      <c r="P131" s="157">
        <f xml:space="preserve"> Inputs!P$111</f>
        <v>114.2757909028129</v>
      </c>
      <c r="Q131" s="157">
        <f xml:space="preserve"> Inputs!Q$111</f>
        <v>35.383295572084961</v>
      </c>
      <c r="R131" s="157">
        <f xml:space="preserve"> Inputs!R$111</f>
        <v>34.876323472310339</v>
      </c>
      <c r="S131" s="157">
        <f xml:space="preserve"> Inputs!S$111</f>
        <v>33.284952333922412</v>
      </c>
    </row>
    <row r="132" spans="1:19" s="50" customFormat="1">
      <c r="A132" s="54"/>
      <c r="B132" s="64"/>
      <c r="C132" s="110"/>
      <c r="D132" s="60"/>
      <c r="E132" s="156" t="str">
        <f xml:space="preserve"> Inputs!E$112</f>
        <v>FD MODEL INPUTS - Water network - Allowed Revenues - real</v>
      </c>
      <c r="F132" s="157">
        <f xml:space="preserve"> Inputs!F$112</f>
        <v>0</v>
      </c>
      <c r="G132" s="157" t="str">
        <f xml:space="preserve"> Inputs!G$112</f>
        <v>£m</v>
      </c>
      <c r="H132" s="157">
        <f xml:space="preserve"> Inputs!H$112</f>
        <v>4121.1149451102438</v>
      </c>
      <c r="I132" s="157">
        <f xml:space="preserve"> Inputs!I$112</f>
        <v>0</v>
      </c>
      <c r="J132" s="157">
        <f xml:space="preserve"> Inputs!J$112</f>
        <v>0</v>
      </c>
      <c r="K132" s="157">
        <f xml:space="preserve"> Inputs!K$112</f>
        <v>0</v>
      </c>
      <c r="L132" s="157">
        <f xml:space="preserve"> Inputs!L$112</f>
        <v>587.96615580489618</v>
      </c>
      <c r="M132" s="157">
        <f xml:space="preserve"> Inputs!M$112</f>
        <v>593.30120162947719</v>
      </c>
      <c r="N132" s="157">
        <f xml:space="preserve"> Inputs!N$112</f>
        <v>592.89074853636077</v>
      </c>
      <c r="O132" s="157">
        <f xml:space="preserve"> Inputs!O$112</f>
        <v>604.77039178290636</v>
      </c>
      <c r="P132" s="157">
        <f xml:space="preserve"> Inputs!P$112</f>
        <v>599.05257465556053</v>
      </c>
      <c r="Q132" s="157">
        <f xml:space="preserve"> Inputs!Q$112</f>
        <v>251.59409795987349</v>
      </c>
      <c r="R132" s="157">
        <f xml:space="preserve"> Inputs!R$112</f>
        <v>238.27451560645642</v>
      </c>
      <c r="S132" s="157">
        <f xml:space="preserve"> Inputs!S$112</f>
        <v>227.30281774426447</v>
      </c>
    </row>
    <row r="133" spans="1:19" s="50" customFormat="1">
      <c r="A133" s="54"/>
      <c r="B133" s="64"/>
      <c r="C133" s="110"/>
      <c r="D133" s="60"/>
      <c r="E133" s="156" t="str">
        <f xml:space="preserve"> Inputs!E$113</f>
        <v>FD MODEL INPUTS - Wastewater network - Allowed Revenues - real</v>
      </c>
      <c r="F133" s="157">
        <f xml:space="preserve"> Inputs!F$113</f>
        <v>0</v>
      </c>
      <c r="G133" s="157" t="str">
        <f xml:space="preserve"> Inputs!G$113</f>
        <v>£m</v>
      </c>
      <c r="H133" s="157">
        <f xml:space="preserve"> Inputs!H$113</f>
        <v>5857.6740963859183</v>
      </c>
      <c r="I133" s="157">
        <f xml:space="preserve"> Inputs!I$113</f>
        <v>0</v>
      </c>
      <c r="J133" s="157">
        <f xml:space="preserve"> Inputs!J$113</f>
        <v>0</v>
      </c>
      <c r="K133" s="157">
        <f xml:space="preserve"> Inputs!K$113</f>
        <v>0</v>
      </c>
      <c r="L133" s="157">
        <f xml:space="preserve"> Inputs!L$113</f>
        <v>764.74186566593892</v>
      </c>
      <c r="M133" s="157">
        <f xml:space="preserve"> Inputs!M$113</f>
        <v>751.48338271462467</v>
      </c>
      <c r="N133" s="157">
        <f xml:space="preserve"> Inputs!N$113</f>
        <v>750.03760036760536</v>
      </c>
      <c r="O133" s="157">
        <f xml:space="preserve"> Inputs!O$113</f>
        <v>757.0723448548282</v>
      </c>
      <c r="P133" s="157">
        <f xml:space="preserve"> Inputs!P$113</f>
        <v>763.83111357861662</v>
      </c>
      <c r="Q133" s="157">
        <f xml:space="preserve"> Inputs!Q$113</f>
        <v>446.41099966335156</v>
      </c>
      <c r="R133" s="157">
        <f xml:space="preserve"> Inputs!R$113</f>
        <v>430.26228007439397</v>
      </c>
      <c r="S133" s="157">
        <f xml:space="preserve"> Inputs!S$113</f>
        <v>414.25557952067106</v>
      </c>
    </row>
    <row r="134" spans="1:19" s="50" customFormat="1">
      <c r="A134" s="54"/>
      <c r="B134" s="64"/>
      <c r="C134" s="110"/>
      <c r="D134" s="60"/>
      <c r="E134" s="156" t="str">
        <f xml:space="preserve"> Inputs!E$114</f>
        <v>FD MODEL INPUTS - Bio resources - Allowed Revenues - real</v>
      </c>
      <c r="F134" s="157">
        <f xml:space="preserve"> Inputs!F$114</f>
        <v>0</v>
      </c>
      <c r="G134" s="157" t="str">
        <f xml:space="preserve"> Inputs!G$114</f>
        <v>£m</v>
      </c>
      <c r="H134" s="157">
        <f xml:space="preserve"> Inputs!H$114</f>
        <v>701.59225821777375</v>
      </c>
      <c r="I134" s="157">
        <f xml:space="preserve"> Inputs!I$114</f>
        <v>0</v>
      </c>
      <c r="J134" s="157">
        <f xml:space="preserve"> Inputs!J$114</f>
        <v>0</v>
      </c>
      <c r="K134" s="157">
        <f xml:space="preserve"> Inputs!K$114</f>
        <v>0</v>
      </c>
      <c r="L134" s="157">
        <f xml:space="preserve"> Inputs!L$114</f>
        <v>91.814909120986897</v>
      </c>
      <c r="M134" s="157">
        <f xml:space="preserve"> Inputs!M$114</f>
        <v>92.903165608942544</v>
      </c>
      <c r="N134" s="157">
        <f xml:space="preserve"> Inputs!N$114</f>
        <v>94.655116895032535</v>
      </c>
      <c r="O134" s="157">
        <f xml:space="preserve"> Inputs!O$114</f>
        <v>95.957195156410464</v>
      </c>
      <c r="P134" s="157">
        <f xml:space="preserve"> Inputs!P$114</f>
        <v>97.465218995484904</v>
      </c>
      <c r="Q134" s="157">
        <f xml:space="preserve"> Inputs!Q$114</f>
        <v>52.975639225898284</v>
      </c>
      <c r="R134" s="157">
        <f xml:space="preserve"> Inputs!R$114</f>
        <v>48.938556300785436</v>
      </c>
      <c r="S134" s="157">
        <f xml:space="preserve"> Inputs!S$114</f>
        <v>45.495610069135942</v>
      </c>
    </row>
    <row r="135" spans="1:19" s="50" customFormat="1">
      <c r="A135" s="54"/>
      <c r="B135" s="64"/>
      <c r="C135" s="110"/>
      <c r="D135" s="60"/>
      <c r="E135" s="156" t="str">
        <f xml:space="preserve"> Inputs!E$115</f>
        <v>FD MODEL INPUTS - Dummy control - Allowed Revenues - real</v>
      </c>
      <c r="F135" s="157">
        <f xml:space="preserve"> Inputs!F$115</f>
        <v>0</v>
      </c>
      <c r="G135" s="157" t="str">
        <f xml:space="preserve"> Inputs!G$115</f>
        <v>£m</v>
      </c>
      <c r="H135" s="157">
        <f xml:space="preserve"> Inputs!H$115</f>
        <v>0</v>
      </c>
      <c r="I135" s="157">
        <f xml:space="preserve"> Inputs!I$115</f>
        <v>0</v>
      </c>
      <c r="J135" s="157">
        <f xml:space="preserve"> Inputs!J$115</f>
        <v>0</v>
      </c>
      <c r="K135" s="157">
        <f xml:space="preserve"> Inputs!K$115</f>
        <v>0</v>
      </c>
      <c r="L135" s="157">
        <f xml:space="preserve"> Inputs!L$115</f>
        <v>0</v>
      </c>
      <c r="M135" s="157">
        <f xml:space="preserve"> Inputs!M$115</f>
        <v>0</v>
      </c>
      <c r="N135" s="157">
        <f xml:space="preserve"> Inputs!N$115</f>
        <v>0</v>
      </c>
      <c r="O135" s="157">
        <f xml:space="preserve"> Inputs!O$115</f>
        <v>0</v>
      </c>
      <c r="P135" s="157">
        <f xml:space="preserve"> Inputs!P$115</f>
        <v>0</v>
      </c>
      <c r="Q135" s="157">
        <f xml:space="preserve"> Inputs!Q$115</f>
        <v>0</v>
      </c>
      <c r="R135" s="157">
        <f xml:space="preserve"> Inputs!R$115</f>
        <v>0</v>
      </c>
      <c r="S135" s="157">
        <f xml:space="preserve"> Inputs!S$115</f>
        <v>0</v>
      </c>
    </row>
    <row r="136" spans="1:19" s="50" customFormat="1">
      <c r="A136" s="54"/>
      <c r="B136" s="64"/>
      <c r="C136" s="110"/>
      <c r="D136" s="60"/>
    </row>
    <row r="137" spans="1:19">
      <c r="A137" s="54"/>
      <c r="E137" s="159" t="str">
        <f xml:space="preserve"> Inputs!E$237</f>
        <v>NEW MODEL INPUTS - Water resources - Allowed Revenues - real</v>
      </c>
      <c r="F137" s="153">
        <f xml:space="preserve"> Inputs!F$237</f>
        <v>0</v>
      </c>
      <c r="G137" s="153" t="str">
        <f xml:space="preserve"> Inputs!G$237</f>
        <v>£m</v>
      </c>
      <c r="H137" s="153">
        <f xml:space="preserve"> Inputs!H$237</f>
        <v>683.47268147348336</v>
      </c>
      <c r="I137" s="153">
        <f xml:space="preserve"> Inputs!I$237</f>
        <v>0</v>
      </c>
      <c r="J137" s="153">
        <f xml:space="preserve"> Inputs!J$237</f>
        <v>0</v>
      </c>
      <c r="K137" s="153">
        <f xml:space="preserve"> Inputs!K$237</f>
        <v>0</v>
      </c>
      <c r="L137" s="153">
        <f xml:space="preserve"> Inputs!L$237</f>
        <v>99.082188445962743</v>
      </c>
      <c r="M137" s="153">
        <f xml:space="preserve"> Inputs!M$237</f>
        <v>99.603886226687237</v>
      </c>
      <c r="N137" s="153">
        <f xml:space="preserve"> Inputs!N$237</f>
        <v>100.88731011346469</v>
      </c>
      <c r="O137" s="153">
        <f xml:space="preserve"> Inputs!O$237</f>
        <v>104.92175704654343</v>
      </c>
      <c r="P137" s="153">
        <f xml:space="preserve"> Inputs!P$237</f>
        <v>112.32459247725187</v>
      </c>
      <c r="Q137" s="153">
        <f xml:space="preserve"> Inputs!Q$237</f>
        <v>35.383295572084961</v>
      </c>
      <c r="R137" s="153">
        <f xml:space="preserve"> Inputs!R$237</f>
        <v>34.876323472310339</v>
      </c>
      <c r="S137" s="153">
        <f xml:space="preserve"> Inputs!S$237</f>
        <v>33.284952333922412</v>
      </c>
    </row>
    <row r="138" spans="1:19">
      <c r="E138" s="159" t="str">
        <f xml:space="preserve"> Inputs!E$238</f>
        <v>NEW MODEL INPUTS - Water network - Allowed Revenues - real</v>
      </c>
      <c r="F138" s="153">
        <f xml:space="preserve"> Inputs!F$238</f>
        <v>0</v>
      </c>
      <c r="G138" s="153" t="str">
        <f xml:space="preserve"> Inputs!G$238</f>
        <v>£m</v>
      </c>
      <c r="H138" s="153">
        <f xml:space="preserve"> Inputs!H$238</f>
        <v>4073.8514605559385</v>
      </c>
      <c r="I138" s="153">
        <f xml:space="preserve"> Inputs!I$238</f>
        <v>0</v>
      </c>
      <c r="J138" s="153">
        <f xml:space="preserve"> Inputs!J$238</f>
        <v>0</v>
      </c>
      <c r="K138" s="153">
        <f xml:space="preserve"> Inputs!K$238</f>
        <v>0</v>
      </c>
      <c r="L138" s="153">
        <f xml:space="preserve"> Inputs!L$238</f>
        <v>588.02319644343993</v>
      </c>
      <c r="M138" s="153">
        <f xml:space="preserve"> Inputs!M$238</f>
        <v>584.59670388626444</v>
      </c>
      <c r="N138" s="153">
        <f xml:space="preserve"> Inputs!N$238</f>
        <v>585.54154544347477</v>
      </c>
      <c r="O138" s="153">
        <f xml:space="preserve"> Inputs!O$238</f>
        <v>587.01461686402774</v>
      </c>
      <c r="P138" s="153">
        <f xml:space="preserve"> Inputs!P$238</f>
        <v>585.54152521768833</v>
      </c>
      <c r="Q138" s="153">
        <f xml:space="preserve"> Inputs!Q$238</f>
        <v>251.59409795987349</v>
      </c>
      <c r="R138" s="153">
        <f xml:space="preserve"> Inputs!R$238</f>
        <v>238.27451560645642</v>
      </c>
      <c r="S138" s="153">
        <f xml:space="preserve"> Inputs!S$238</f>
        <v>227.30281774426447</v>
      </c>
    </row>
    <row r="139" spans="1:19">
      <c r="E139" s="159" t="str">
        <f xml:space="preserve"> Inputs!E$239</f>
        <v>NEW MODEL INPUTS - Wastewater network - Allowed Revenues - real</v>
      </c>
      <c r="F139" s="153">
        <f xml:space="preserve"> Inputs!F$239</f>
        <v>0</v>
      </c>
      <c r="G139" s="153" t="str">
        <f xml:space="preserve"> Inputs!G$239</f>
        <v>£m</v>
      </c>
      <c r="H139" s="153">
        <f xml:space="preserve"> Inputs!H$239</f>
        <v>5791.5651694793423</v>
      </c>
      <c r="I139" s="153">
        <f xml:space="preserve"> Inputs!I$239</f>
        <v>0</v>
      </c>
      <c r="J139" s="153">
        <f xml:space="preserve"> Inputs!J$239</f>
        <v>0</v>
      </c>
      <c r="K139" s="153">
        <f xml:space="preserve"> Inputs!K$239</f>
        <v>0</v>
      </c>
      <c r="L139" s="153">
        <f xml:space="preserve"> Inputs!L$239</f>
        <v>764.70830748373032</v>
      </c>
      <c r="M139" s="153">
        <f xml:space="preserve"> Inputs!M$239</f>
        <v>737.74979394422587</v>
      </c>
      <c r="N139" s="153">
        <f xml:space="preserve"> Inputs!N$239</f>
        <v>741.15174400379567</v>
      </c>
      <c r="O139" s="153">
        <f xml:space="preserve"> Inputs!O$239</f>
        <v>736.04628798872034</v>
      </c>
      <c r="P139" s="153">
        <f xml:space="preserve"> Inputs!P$239</f>
        <v>741.4012468545659</v>
      </c>
      <c r="Q139" s="153">
        <f xml:space="preserve"> Inputs!Q$239</f>
        <v>446.41099966335156</v>
      </c>
      <c r="R139" s="153">
        <f xml:space="preserve"> Inputs!R$239</f>
        <v>430.26228007439397</v>
      </c>
      <c r="S139" s="153">
        <f xml:space="preserve"> Inputs!S$239</f>
        <v>414.25557952067106</v>
      </c>
    </row>
    <row r="140" spans="1:19">
      <c r="E140" s="159" t="str">
        <f xml:space="preserve"> Inputs!E$240</f>
        <v>NEW MODEL INPUTS - Bio resources - Allowed Revenues - real</v>
      </c>
      <c r="F140" s="153">
        <f xml:space="preserve"> Inputs!F$240</f>
        <v>0</v>
      </c>
      <c r="G140" s="153" t="str">
        <f xml:space="preserve"> Inputs!G$240</f>
        <v>£m</v>
      </c>
      <c r="H140" s="153">
        <f xml:space="preserve"> Inputs!H$240</f>
        <v>689.68152933323347</v>
      </c>
      <c r="I140" s="153">
        <f xml:space="preserve"> Inputs!I$240</f>
        <v>0</v>
      </c>
      <c r="J140" s="153">
        <f xml:space="preserve"> Inputs!J$240</f>
        <v>0</v>
      </c>
      <c r="K140" s="153">
        <f xml:space="preserve"> Inputs!K$240</f>
        <v>0</v>
      </c>
      <c r="L140" s="153">
        <f xml:space="preserve"> Inputs!L$240</f>
        <v>92.062655184371962</v>
      </c>
      <c r="M140" s="153">
        <f xml:space="preserve"> Inputs!M$240</f>
        <v>90.232006650683033</v>
      </c>
      <c r="N140" s="153">
        <f xml:space="preserve"> Inputs!N$240</f>
        <v>92.685762455277597</v>
      </c>
      <c r="O140" s="153">
        <f xml:space="preserve"> Inputs!O$240</f>
        <v>91.989796894656763</v>
      </c>
      <c r="P140" s="153">
        <f xml:space="preserve"> Inputs!P$240</f>
        <v>93.914655707327768</v>
      </c>
      <c r="Q140" s="153">
        <f xml:space="preserve"> Inputs!Q$240</f>
        <v>52.975639225898284</v>
      </c>
      <c r="R140" s="153">
        <f xml:space="preserve"> Inputs!R$240</f>
        <v>48.938556300785436</v>
      </c>
      <c r="S140" s="153">
        <f xml:space="preserve"> Inputs!S$240</f>
        <v>45.495610069135942</v>
      </c>
    </row>
    <row r="141" spans="1:19">
      <c r="E141" s="159" t="str">
        <f xml:space="preserve"> Inputs!E$241</f>
        <v>NEW MODEL INPUTS - Dummy control - Allowed Revenues - real</v>
      </c>
      <c r="F141" s="153">
        <f xml:space="preserve"> Inputs!F$241</f>
        <v>0</v>
      </c>
      <c r="G141" s="153" t="str">
        <f xml:space="preserve"> Inputs!G$241</f>
        <v>£m</v>
      </c>
      <c r="H141" s="153">
        <f xml:space="preserve"> Inputs!H$241</f>
        <v>0</v>
      </c>
      <c r="I141" s="153">
        <f xml:space="preserve"> Inputs!I$241</f>
        <v>0</v>
      </c>
      <c r="J141" s="153">
        <f xml:space="preserve"> Inputs!J$241</f>
        <v>0</v>
      </c>
      <c r="K141" s="153">
        <f xml:space="preserve"> Inputs!K$241</f>
        <v>0</v>
      </c>
      <c r="L141" s="153">
        <f xml:space="preserve"> Inputs!L$241</f>
        <v>0</v>
      </c>
      <c r="M141" s="153">
        <f xml:space="preserve"> Inputs!M$241</f>
        <v>0</v>
      </c>
      <c r="N141" s="153">
        <f xml:space="preserve"> Inputs!N$241</f>
        <v>0</v>
      </c>
      <c r="O141" s="153">
        <f xml:space="preserve"> Inputs!O$241</f>
        <v>0</v>
      </c>
      <c r="P141" s="153">
        <f xml:space="preserve"> Inputs!P$241</f>
        <v>0</v>
      </c>
      <c r="Q141" s="153">
        <f xml:space="preserve"> Inputs!Q$241</f>
        <v>0</v>
      </c>
      <c r="R141" s="153">
        <f xml:space="preserve"> Inputs!R$241</f>
        <v>0</v>
      </c>
      <c r="S141" s="153">
        <f xml:space="preserve"> Inputs!S$241</f>
        <v>0</v>
      </c>
    </row>
    <row r="143" spans="1:19">
      <c r="E143" s="50" t="s">
        <v>213</v>
      </c>
      <c r="F143" s="50"/>
      <c r="G143" s="50" t="s">
        <v>129</v>
      </c>
      <c r="H143" s="160">
        <f>SUM(J143:S143)</f>
        <v>-5.4022967624738243</v>
      </c>
      <c r="I143" s="50"/>
      <c r="J143" s="160">
        <f>J137-J131</f>
        <v>0</v>
      </c>
      <c r="K143" s="160">
        <f t="shared" ref="K143:S143" si="38">K137-K131</f>
        <v>0</v>
      </c>
      <c r="L143" s="160">
        <f t="shared" si="38"/>
        <v>-4.1563772570938795E-2</v>
      </c>
      <c r="M143" s="160">
        <f t="shared" si="38"/>
        <v>-0.58857914112714127</v>
      </c>
      <c r="N143" s="160">
        <f t="shared" si="38"/>
        <v>-0.84475156899858916</v>
      </c>
      <c r="O143" s="160">
        <f t="shared" si="38"/>
        <v>-1.9762038542161235</v>
      </c>
      <c r="P143" s="160">
        <f t="shared" si="38"/>
        <v>-1.9511984255610315</v>
      </c>
      <c r="Q143" s="160">
        <f t="shared" si="38"/>
        <v>0</v>
      </c>
      <c r="R143" s="160">
        <f t="shared" si="38"/>
        <v>0</v>
      </c>
      <c r="S143" s="160">
        <f t="shared" si="38"/>
        <v>0</v>
      </c>
    </row>
    <row r="144" spans="1:19">
      <c r="E144" s="50" t="s">
        <v>214</v>
      </c>
      <c r="F144" s="50"/>
      <c r="G144" s="50" t="s">
        <v>129</v>
      </c>
      <c r="H144" s="160">
        <f>SUM(J144:S144)</f>
        <v>-47.263484554305819</v>
      </c>
      <c r="I144" s="50"/>
      <c r="J144" s="160">
        <f t="shared" ref="J144:S144" si="39">J138-J132</f>
        <v>0</v>
      </c>
      <c r="K144" s="160">
        <f t="shared" si="39"/>
        <v>0</v>
      </c>
      <c r="L144" s="160">
        <f t="shared" si="39"/>
        <v>5.704063854375363E-2</v>
      </c>
      <c r="M144" s="160">
        <f t="shared" si="39"/>
        <v>-8.7044977432127553</v>
      </c>
      <c r="N144" s="160">
        <f t="shared" si="39"/>
        <v>-7.3492030928860004</v>
      </c>
      <c r="O144" s="160">
        <f t="shared" si="39"/>
        <v>-17.755774918878615</v>
      </c>
      <c r="P144" s="160">
        <f t="shared" si="39"/>
        <v>-13.511049437872202</v>
      </c>
      <c r="Q144" s="160">
        <f t="shared" si="39"/>
        <v>0</v>
      </c>
      <c r="R144" s="160">
        <f t="shared" si="39"/>
        <v>0</v>
      </c>
      <c r="S144" s="160">
        <f t="shared" si="39"/>
        <v>0</v>
      </c>
    </row>
    <row r="145" spans="1:19">
      <c r="E145" s="50" t="s">
        <v>215</v>
      </c>
      <c r="F145" s="50"/>
      <c r="G145" s="50" t="s">
        <v>129</v>
      </c>
      <c r="H145" s="160">
        <f>SUM(J145:S145)</f>
        <v>-66.108926906575675</v>
      </c>
      <c r="I145" s="50"/>
      <c r="J145" s="160">
        <f t="shared" ref="J145:S145" si="40">J139-J133</f>
        <v>0</v>
      </c>
      <c r="K145" s="160">
        <f t="shared" si="40"/>
        <v>0</v>
      </c>
      <c r="L145" s="160">
        <f t="shared" si="40"/>
        <v>-3.3558182208594189E-2</v>
      </c>
      <c r="M145" s="160">
        <f t="shared" si="40"/>
        <v>-13.733588770398796</v>
      </c>
      <c r="N145" s="160">
        <f t="shared" si="40"/>
        <v>-8.8858563638096939</v>
      </c>
      <c r="O145" s="160">
        <f t="shared" si="40"/>
        <v>-21.026056866107865</v>
      </c>
      <c r="P145" s="160">
        <f t="shared" si="40"/>
        <v>-22.429866724050726</v>
      </c>
      <c r="Q145" s="160">
        <f t="shared" si="40"/>
        <v>0</v>
      </c>
      <c r="R145" s="160">
        <f t="shared" si="40"/>
        <v>0</v>
      </c>
      <c r="S145" s="160">
        <f t="shared" si="40"/>
        <v>0</v>
      </c>
    </row>
    <row r="146" spans="1:19">
      <c r="E146" s="50" t="s">
        <v>216</v>
      </c>
      <c r="F146" s="50"/>
      <c r="G146" s="50" t="s">
        <v>129</v>
      </c>
      <c r="H146" s="160">
        <f>SUM(J146:S146)</f>
        <v>-11.910728884540219</v>
      </c>
      <c r="I146" s="50"/>
      <c r="J146" s="160">
        <f t="shared" ref="J146:S146" si="41">J140-J134</f>
        <v>0</v>
      </c>
      <c r="K146" s="160">
        <f t="shared" si="41"/>
        <v>0</v>
      </c>
      <c r="L146" s="160">
        <f t="shared" si="41"/>
        <v>0.24774606338506544</v>
      </c>
      <c r="M146" s="160">
        <f t="shared" si="41"/>
        <v>-2.671158958259511</v>
      </c>
      <c r="N146" s="160">
        <f t="shared" si="41"/>
        <v>-1.9693544397549374</v>
      </c>
      <c r="O146" s="160">
        <f t="shared" si="41"/>
        <v>-3.9673982617537007</v>
      </c>
      <c r="P146" s="160">
        <f t="shared" si="41"/>
        <v>-3.5505632881571358</v>
      </c>
      <c r="Q146" s="160">
        <f t="shared" si="41"/>
        <v>0</v>
      </c>
      <c r="R146" s="160">
        <f t="shared" si="41"/>
        <v>0</v>
      </c>
      <c r="S146" s="160">
        <f t="shared" si="41"/>
        <v>0</v>
      </c>
    </row>
    <row r="147" spans="1:19">
      <c r="E147" s="50" t="s">
        <v>217</v>
      </c>
      <c r="F147" s="50"/>
      <c r="G147" s="50" t="s">
        <v>129</v>
      </c>
      <c r="H147" s="160">
        <f>SUM(J147:S147)</f>
        <v>0</v>
      </c>
      <c r="I147" s="50"/>
      <c r="J147" s="160">
        <f t="shared" ref="J147:S147" si="42">J141-J135</f>
        <v>0</v>
      </c>
      <c r="K147" s="160">
        <f t="shared" si="42"/>
        <v>0</v>
      </c>
      <c r="L147" s="160">
        <f t="shared" si="42"/>
        <v>0</v>
      </c>
      <c r="M147" s="160">
        <f t="shared" si="42"/>
        <v>0</v>
      </c>
      <c r="N147" s="160">
        <f t="shared" si="42"/>
        <v>0</v>
      </c>
      <c r="O147" s="160">
        <f t="shared" si="42"/>
        <v>0</v>
      </c>
      <c r="P147" s="160">
        <f t="shared" si="42"/>
        <v>0</v>
      </c>
      <c r="Q147" s="160">
        <f t="shared" si="42"/>
        <v>0</v>
      </c>
      <c r="R147" s="160">
        <f t="shared" si="42"/>
        <v>0</v>
      </c>
      <c r="S147" s="160">
        <f t="shared" si="42"/>
        <v>0</v>
      </c>
    </row>
    <row r="148" spans="1:19">
      <c r="E148" s="50"/>
      <c r="F148" s="50"/>
      <c r="G148" s="50"/>
      <c r="H148" s="160"/>
      <c r="I148" s="5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</row>
    <row r="149" spans="1:19">
      <c r="A149" s="55" t="s">
        <v>218</v>
      </c>
    </row>
    <row r="150" spans="1:19">
      <c r="E150" s="8" t="str">
        <f t="shared" ref="E150:S150" si="43" xml:space="preserve"> E$20</f>
        <v>Difference in tax revenue WR - real</v>
      </c>
      <c r="F150" s="8">
        <f t="shared" si="43"/>
        <v>0</v>
      </c>
      <c r="G150" s="8" t="str">
        <f t="shared" si="43"/>
        <v>£m</v>
      </c>
      <c r="H150" s="164">
        <f t="shared" si="43"/>
        <v>-5.4022967624738296</v>
      </c>
      <c r="I150" s="8">
        <f t="shared" si="43"/>
        <v>0</v>
      </c>
      <c r="J150" s="164">
        <f t="shared" si="43"/>
        <v>0</v>
      </c>
      <c r="K150" s="164">
        <f t="shared" si="43"/>
        <v>0</v>
      </c>
      <c r="L150" s="164">
        <f t="shared" si="43"/>
        <v>-4.1563772570940793E-2</v>
      </c>
      <c r="M150" s="164">
        <f t="shared" si="43"/>
        <v>-0.58857914112715037</v>
      </c>
      <c r="N150" s="164">
        <f t="shared" si="43"/>
        <v>-0.84475156899858406</v>
      </c>
      <c r="O150" s="164">
        <f t="shared" si="43"/>
        <v>-1.9762038542161282</v>
      </c>
      <c r="P150" s="164">
        <f t="shared" si="43"/>
        <v>-1.951198425561026</v>
      </c>
      <c r="Q150" s="164">
        <f t="shared" si="43"/>
        <v>0</v>
      </c>
      <c r="R150" s="164">
        <f t="shared" si="43"/>
        <v>0</v>
      </c>
      <c r="S150" s="164">
        <f t="shared" si="43"/>
        <v>0</v>
      </c>
    </row>
    <row r="151" spans="1:19">
      <c r="E151" s="8" t="str">
        <f t="shared" ref="E151:S151" si="44" xml:space="preserve"> E$21</f>
        <v>Difference in tax revenue WN - real</v>
      </c>
      <c r="F151" s="8">
        <f t="shared" si="44"/>
        <v>0</v>
      </c>
      <c r="G151" s="8" t="str">
        <f t="shared" si="44"/>
        <v>£m</v>
      </c>
      <c r="H151" s="164">
        <f t="shared" si="44"/>
        <v>-45.232873314950304</v>
      </c>
      <c r="I151" s="8">
        <f t="shared" si="44"/>
        <v>0</v>
      </c>
      <c r="J151" s="164">
        <f t="shared" si="44"/>
        <v>0</v>
      </c>
      <c r="K151" s="164">
        <f t="shared" si="44"/>
        <v>0</v>
      </c>
      <c r="L151" s="164">
        <f t="shared" si="44"/>
        <v>0.241641660303344</v>
      </c>
      <c r="M151" s="164">
        <f t="shared" si="44"/>
        <v>-8.519896721453069</v>
      </c>
      <c r="N151" s="164">
        <f t="shared" si="44"/>
        <v>-7.1646020711263692</v>
      </c>
      <c r="O151" s="164">
        <f t="shared" si="44"/>
        <v>-17.017370831840324</v>
      </c>
      <c r="P151" s="164">
        <f t="shared" si="44"/>
        <v>-12.772645350833884</v>
      </c>
      <c r="Q151" s="164">
        <f t="shared" si="44"/>
        <v>0</v>
      </c>
      <c r="R151" s="164">
        <f t="shared" si="44"/>
        <v>0</v>
      </c>
      <c r="S151" s="164">
        <f t="shared" si="44"/>
        <v>0</v>
      </c>
    </row>
    <row r="152" spans="1:19">
      <c r="E152" s="8" t="str">
        <f t="shared" ref="E152:S152" si="45" xml:space="preserve"> E$22</f>
        <v>Difference in tax revenue WWN - real</v>
      </c>
      <c r="F152" s="8">
        <f t="shared" si="45"/>
        <v>0</v>
      </c>
      <c r="G152" s="8" t="str">
        <f t="shared" si="45"/>
        <v>£m</v>
      </c>
      <c r="H152" s="164">
        <f t="shared" si="45"/>
        <v>-65.224851001202296</v>
      </c>
      <c r="I152" s="8">
        <f t="shared" si="45"/>
        <v>0</v>
      </c>
      <c r="J152" s="164">
        <f t="shared" si="45"/>
        <v>0</v>
      </c>
      <c r="K152" s="164">
        <f t="shared" si="45"/>
        <v>0</v>
      </c>
      <c r="L152" s="164">
        <f t="shared" si="45"/>
        <v>4.6812354643538612E-2</v>
      </c>
      <c r="M152" s="164">
        <f t="shared" si="45"/>
        <v>-13.653218233546646</v>
      </c>
      <c r="N152" s="164">
        <f t="shared" si="45"/>
        <v>-8.8054858269575558</v>
      </c>
      <c r="O152" s="164">
        <f t="shared" si="45"/>
        <v>-20.704574718699376</v>
      </c>
      <c r="P152" s="164">
        <f t="shared" si="45"/>
        <v>-22.108384576642262</v>
      </c>
      <c r="Q152" s="164">
        <f t="shared" si="45"/>
        <v>0</v>
      </c>
      <c r="R152" s="164">
        <f t="shared" si="45"/>
        <v>0</v>
      </c>
      <c r="S152" s="164">
        <f t="shared" si="45"/>
        <v>0</v>
      </c>
    </row>
    <row r="153" spans="1:19">
      <c r="E153" s="8" t="str">
        <f t="shared" ref="E153:S153" si="46" xml:space="preserve"> E$23</f>
        <v>Difference in tax revenue BR - real</v>
      </c>
      <c r="F153" s="8">
        <f t="shared" si="46"/>
        <v>0</v>
      </c>
      <c r="G153" s="8" t="str">
        <f t="shared" si="46"/>
        <v>£m</v>
      </c>
      <c r="H153" s="164">
        <f t="shared" si="46"/>
        <v>-11.910728884540225</v>
      </c>
      <c r="I153" s="8">
        <f t="shared" si="46"/>
        <v>0</v>
      </c>
      <c r="J153" s="164">
        <f t="shared" si="46"/>
        <v>0</v>
      </c>
      <c r="K153" s="164">
        <f t="shared" si="46"/>
        <v>0</v>
      </c>
      <c r="L153" s="164">
        <f t="shared" si="46"/>
        <v>0.24774606338506233</v>
      </c>
      <c r="M153" s="164">
        <f t="shared" si="46"/>
        <v>-2.6711589582595181</v>
      </c>
      <c r="N153" s="164">
        <f t="shared" si="46"/>
        <v>-1.9693544397549427</v>
      </c>
      <c r="O153" s="164">
        <f t="shared" si="46"/>
        <v>-3.9673982617536954</v>
      </c>
      <c r="P153" s="164">
        <f t="shared" si="46"/>
        <v>-3.5505632881571305</v>
      </c>
      <c r="Q153" s="164">
        <f t="shared" si="46"/>
        <v>0</v>
      </c>
      <c r="R153" s="164">
        <f t="shared" si="46"/>
        <v>0</v>
      </c>
      <c r="S153" s="164">
        <f t="shared" si="46"/>
        <v>0</v>
      </c>
    </row>
    <row r="154" spans="1:19">
      <c r="E154" s="8" t="str">
        <f t="shared" ref="E154:S154" si="47" xml:space="preserve"> E$24</f>
        <v>Difference in tax revenue DMMY - real</v>
      </c>
      <c r="F154" s="8">
        <f t="shared" si="47"/>
        <v>0</v>
      </c>
      <c r="G154" s="8" t="str">
        <f t="shared" si="47"/>
        <v>£m</v>
      </c>
      <c r="H154" s="164">
        <f t="shared" si="47"/>
        <v>0</v>
      </c>
      <c r="I154" s="8">
        <f t="shared" si="47"/>
        <v>0</v>
      </c>
      <c r="J154" s="164">
        <f t="shared" si="47"/>
        <v>0</v>
      </c>
      <c r="K154" s="164">
        <f t="shared" si="47"/>
        <v>0</v>
      </c>
      <c r="L154" s="164">
        <f t="shared" si="47"/>
        <v>0</v>
      </c>
      <c r="M154" s="164">
        <f t="shared" si="47"/>
        <v>0</v>
      </c>
      <c r="N154" s="164">
        <f t="shared" si="47"/>
        <v>0</v>
      </c>
      <c r="O154" s="164">
        <f t="shared" si="47"/>
        <v>0</v>
      </c>
      <c r="P154" s="164">
        <f t="shared" si="47"/>
        <v>0</v>
      </c>
      <c r="Q154" s="164">
        <f t="shared" si="47"/>
        <v>0</v>
      </c>
      <c r="R154" s="164">
        <f t="shared" si="47"/>
        <v>0</v>
      </c>
      <c r="S154" s="164">
        <f t="shared" si="47"/>
        <v>0</v>
      </c>
    </row>
    <row r="156" spans="1:19">
      <c r="E156" s="8" t="str">
        <f xml:space="preserve"> E$40</f>
        <v>Difference in Totex adjustment WR - real</v>
      </c>
      <c r="F156" s="8">
        <f t="shared" ref="F156:S156" si="48" xml:space="preserve"> F$40</f>
        <v>0</v>
      </c>
      <c r="G156" s="8" t="str">
        <f t="shared" si="48"/>
        <v>£m</v>
      </c>
      <c r="H156" s="8">
        <f t="shared" si="48"/>
        <v>0</v>
      </c>
      <c r="I156" s="8">
        <f t="shared" si="48"/>
        <v>0</v>
      </c>
      <c r="J156" s="8">
        <f t="shared" si="48"/>
        <v>0</v>
      </c>
      <c r="K156" s="8">
        <f t="shared" si="48"/>
        <v>0</v>
      </c>
      <c r="L156" s="8">
        <f t="shared" si="48"/>
        <v>0</v>
      </c>
      <c r="M156" s="8">
        <f t="shared" si="48"/>
        <v>0</v>
      </c>
      <c r="N156" s="8">
        <f t="shared" si="48"/>
        <v>0</v>
      </c>
      <c r="O156" s="8">
        <f t="shared" si="48"/>
        <v>0</v>
      </c>
      <c r="P156" s="8">
        <f t="shared" si="48"/>
        <v>0</v>
      </c>
      <c r="Q156" s="8">
        <f t="shared" si="48"/>
        <v>0</v>
      </c>
      <c r="R156" s="8">
        <f t="shared" si="48"/>
        <v>0</v>
      </c>
      <c r="S156" s="8">
        <f t="shared" si="48"/>
        <v>0</v>
      </c>
    </row>
    <row r="157" spans="1:19">
      <c r="E157" s="8" t="str">
        <f xml:space="preserve"> E$41</f>
        <v>Difference in Totex adjustment WN - real</v>
      </c>
      <c r="F157" s="8">
        <f t="shared" ref="F157:S157" si="49" xml:space="preserve"> F$41</f>
        <v>0</v>
      </c>
      <c r="G157" s="8" t="str">
        <f t="shared" si="49"/>
        <v>£m</v>
      </c>
      <c r="H157" s="8">
        <f t="shared" si="49"/>
        <v>2.3107135123255667</v>
      </c>
      <c r="I157" s="8">
        <f t="shared" si="49"/>
        <v>0</v>
      </c>
      <c r="J157" s="8">
        <f t="shared" si="49"/>
        <v>0</v>
      </c>
      <c r="K157" s="8">
        <f t="shared" si="49"/>
        <v>0</v>
      </c>
      <c r="L157" s="8">
        <f t="shared" si="49"/>
        <v>0.2100648647568697</v>
      </c>
      <c r="M157" s="8">
        <f t="shared" si="49"/>
        <v>0.2100648647568697</v>
      </c>
      <c r="N157" s="8">
        <f t="shared" si="49"/>
        <v>0.2100648647568697</v>
      </c>
      <c r="O157" s="8">
        <f t="shared" si="49"/>
        <v>0.84025945902747878</v>
      </c>
      <c r="P157" s="8">
        <f t="shared" si="49"/>
        <v>0.84025945902747878</v>
      </c>
      <c r="Q157" s="8">
        <f t="shared" si="49"/>
        <v>0</v>
      </c>
      <c r="R157" s="8">
        <f t="shared" si="49"/>
        <v>0</v>
      </c>
      <c r="S157" s="8">
        <f t="shared" si="49"/>
        <v>0</v>
      </c>
    </row>
    <row r="158" spans="1:19">
      <c r="E158" s="8" t="str">
        <f xml:space="preserve"> E$42</f>
        <v>Difference in Totex adjustment WWN - real</v>
      </c>
      <c r="F158" s="8">
        <f t="shared" ref="F158:S158" si="50" xml:space="preserve"> F$42</f>
        <v>0</v>
      </c>
      <c r="G158" s="8" t="str">
        <f t="shared" si="50"/>
        <v>£m</v>
      </c>
      <c r="H158" s="8">
        <f t="shared" si="50"/>
        <v>0.52099011337925649</v>
      </c>
      <c r="I158" s="8">
        <f t="shared" si="50"/>
        <v>0</v>
      </c>
      <c r="J158" s="8">
        <f t="shared" si="50"/>
        <v>0</v>
      </c>
      <c r="K158" s="8">
        <f t="shared" si="50"/>
        <v>0</v>
      </c>
      <c r="L158" s="8">
        <f t="shared" si="50"/>
        <v>4.7362737579932368E-2</v>
      </c>
      <c r="M158" s="8">
        <f t="shared" si="50"/>
        <v>4.7362737579932368E-2</v>
      </c>
      <c r="N158" s="8">
        <f t="shared" si="50"/>
        <v>4.7362737579932368E-2</v>
      </c>
      <c r="O158" s="8">
        <f t="shared" si="50"/>
        <v>0.18945095031972969</v>
      </c>
      <c r="P158" s="8">
        <f t="shared" si="50"/>
        <v>0.18945095031972969</v>
      </c>
      <c r="Q158" s="8">
        <f t="shared" si="50"/>
        <v>0</v>
      </c>
      <c r="R158" s="8">
        <f t="shared" si="50"/>
        <v>0</v>
      </c>
      <c r="S158" s="8">
        <f t="shared" si="50"/>
        <v>0</v>
      </c>
    </row>
    <row r="159" spans="1:19">
      <c r="E159" s="8" t="str">
        <f xml:space="preserve"> E$43</f>
        <v>Difference in Totex adjustment BR - real</v>
      </c>
      <c r="F159" s="8">
        <f t="shared" ref="F159:S159" si="51" xml:space="preserve"> F$43</f>
        <v>0</v>
      </c>
      <c r="G159" s="8" t="str">
        <f t="shared" si="51"/>
        <v>£m</v>
      </c>
      <c r="H159" s="8">
        <f t="shared" si="51"/>
        <v>0</v>
      </c>
      <c r="I159" s="8">
        <f t="shared" si="51"/>
        <v>0</v>
      </c>
      <c r="J159" s="8">
        <f t="shared" si="51"/>
        <v>0</v>
      </c>
      <c r="K159" s="8">
        <f t="shared" si="51"/>
        <v>0</v>
      </c>
      <c r="L159" s="8">
        <f t="shared" si="51"/>
        <v>0</v>
      </c>
      <c r="M159" s="8">
        <f t="shared" si="51"/>
        <v>0</v>
      </c>
      <c r="N159" s="8">
        <f t="shared" si="51"/>
        <v>0</v>
      </c>
      <c r="O159" s="8">
        <f t="shared" si="51"/>
        <v>0</v>
      </c>
      <c r="P159" s="8">
        <f t="shared" si="51"/>
        <v>0</v>
      </c>
      <c r="Q159" s="8">
        <f t="shared" si="51"/>
        <v>0</v>
      </c>
      <c r="R159" s="8">
        <f t="shared" si="51"/>
        <v>0</v>
      </c>
      <c r="S159" s="8">
        <f t="shared" si="51"/>
        <v>0</v>
      </c>
    </row>
    <row r="160" spans="1:19">
      <c r="E160" s="8" t="str">
        <f xml:space="preserve"> E$44</f>
        <v>Difference in Totex adjustment DMMY - real</v>
      </c>
      <c r="F160" s="8">
        <f t="shared" ref="F160:S160" si="52" xml:space="preserve"> F$44</f>
        <v>0</v>
      </c>
      <c r="G160" s="8" t="str">
        <f t="shared" si="52"/>
        <v>£m</v>
      </c>
      <c r="H160" s="8">
        <f t="shared" si="52"/>
        <v>0</v>
      </c>
      <c r="I160" s="8">
        <f t="shared" si="52"/>
        <v>0</v>
      </c>
      <c r="J160" s="8">
        <f t="shared" si="52"/>
        <v>0</v>
      </c>
      <c r="K160" s="8">
        <f t="shared" si="52"/>
        <v>0</v>
      </c>
      <c r="L160" s="8">
        <f t="shared" si="52"/>
        <v>0</v>
      </c>
      <c r="M160" s="8">
        <f t="shared" si="52"/>
        <v>0</v>
      </c>
      <c r="N160" s="8">
        <f t="shared" si="52"/>
        <v>0</v>
      </c>
      <c r="O160" s="8">
        <f t="shared" si="52"/>
        <v>0</v>
      </c>
      <c r="P160" s="8">
        <f t="shared" si="52"/>
        <v>0</v>
      </c>
      <c r="Q160" s="8">
        <f t="shared" si="52"/>
        <v>0</v>
      </c>
      <c r="R160" s="8">
        <f t="shared" si="52"/>
        <v>0</v>
      </c>
      <c r="S160" s="8">
        <f t="shared" si="52"/>
        <v>0</v>
      </c>
    </row>
    <row r="162" spans="5:19">
      <c r="E162" s="8" t="str">
        <f xml:space="preserve"> E$58</f>
        <v>Difference in WRFIM adjustment WR - real</v>
      </c>
      <c r="F162" s="8">
        <f t="shared" ref="F162:S162" si="53" xml:space="preserve"> F$58</f>
        <v>0</v>
      </c>
      <c r="G162" s="8" t="str">
        <f t="shared" si="53"/>
        <v>£m</v>
      </c>
      <c r="H162" s="8">
        <f t="shared" si="53"/>
        <v>0</v>
      </c>
      <c r="I162" s="8">
        <f t="shared" si="53"/>
        <v>0</v>
      </c>
      <c r="J162" s="8">
        <f t="shared" si="53"/>
        <v>0</v>
      </c>
      <c r="K162" s="8">
        <f t="shared" si="53"/>
        <v>0</v>
      </c>
      <c r="L162" s="8">
        <f t="shared" si="53"/>
        <v>0</v>
      </c>
      <c r="M162" s="8">
        <f t="shared" si="53"/>
        <v>0</v>
      </c>
      <c r="N162" s="8">
        <f t="shared" si="53"/>
        <v>0</v>
      </c>
      <c r="O162" s="8">
        <f t="shared" si="53"/>
        <v>0</v>
      </c>
      <c r="P162" s="8">
        <f t="shared" si="53"/>
        <v>0</v>
      </c>
      <c r="Q162" s="8">
        <f t="shared" si="53"/>
        <v>0</v>
      </c>
      <c r="R162" s="8">
        <f t="shared" si="53"/>
        <v>0</v>
      </c>
      <c r="S162" s="8">
        <f t="shared" si="53"/>
        <v>0</v>
      </c>
    </row>
    <row r="163" spans="5:19">
      <c r="E163" s="8" t="str">
        <f xml:space="preserve"> E$59</f>
        <v>Difference in WRFIM adjustment WN - real</v>
      </c>
      <c r="F163" s="8">
        <f t="shared" ref="F163:S163" si="54" xml:space="preserve"> F$59</f>
        <v>0</v>
      </c>
      <c r="G163" s="8" t="str">
        <f t="shared" si="54"/>
        <v>£m</v>
      </c>
      <c r="H163" s="8">
        <f t="shared" si="54"/>
        <v>-0.28010227297035106</v>
      </c>
      <c r="I163" s="8">
        <f t="shared" si="54"/>
        <v>0</v>
      </c>
      <c r="J163" s="8">
        <f t="shared" si="54"/>
        <v>0</v>
      </c>
      <c r="K163" s="8">
        <f t="shared" si="54"/>
        <v>0</v>
      </c>
      <c r="L163" s="8">
        <f t="shared" si="54"/>
        <v>-2.5463842997304642E-2</v>
      </c>
      <c r="M163" s="8">
        <f t="shared" si="54"/>
        <v>-2.5463842997304642E-2</v>
      </c>
      <c r="N163" s="8">
        <f t="shared" si="54"/>
        <v>-2.5463842997304642E-2</v>
      </c>
      <c r="O163" s="8">
        <f t="shared" si="54"/>
        <v>-0.10185537198921857</v>
      </c>
      <c r="P163" s="8">
        <f t="shared" si="54"/>
        <v>-0.10185537198921857</v>
      </c>
      <c r="Q163" s="8">
        <f t="shared" si="54"/>
        <v>0</v>
      </c>
      <c r="R163" s="8">
        <f t="shared" si="54"/>
        <v>0</v>
      </c>
      <c r="S163" s="8">
        <f t="shared" si="54"/>
        <v>0</v>
      </c>
    </row>
    <row r="164" spans="5:19">
      <c r="E164" s="8" t="str">
        <f xml:space="preserve"> E$60</f>
        <v>Difference in WRFIM adjustment WWN - real</v>
      </c>
      <c r="F164" s="8">
        <f t="shared" ref="F164:S164" si="55" xml:space="preserve"> F$60</f>
        <v>0</v>
      </c>
      <c r="G164" s="8" t="str">
        <f t="shared" si="55"/>
        <v>£m</v>
      </c>
      <c r="H164" s="8">
        <f t="shared" si="55"/>
        <v>0.36308579199404156</v>
      </c>
      <c r="I164" s="8">
        <f t="shared" si="55"/>
        <v>0</v>
      </c>
      <c r="J164" s="8">
        <f t="shared" si="55"/>
        <v>0</v>
      </c>
      <c r="K164" s="8">
        <f t="shared" si="55"/>
        <v>0</v>
      </c>
      <c r="L164" s="8">
        <f t="shared" si="55"/>
        <v>3.3007799272185556E-2</v>
      </c>
      <c r="M164" s="8">
        <f t="shared" si="55"/>
        <v>3.3007799272185556E-2</v>
      </c>
      <c r="N164" s="8">
        <f t="shared" si="55"/>
        <v>3.3007799272185556E-2</v>
      </c>
      <c r="O164" s="8">
        <f t="shared" si="55"/>
        <v>0.13203119708874245</v>
      </c>
      <c r="P164" s="8">
        <f t="shared" si="55"/>
        <v>0.13203119708874245</v>
      </c>
      <c r="Q164" s="8">
        <f t="shared" si="55"/>
        <v>0</v>
      </c>
      <c r="R164" s="8">
        <f t="shared" si="55"/>
        <v>0</v>
      </c>
      <c r="S164" s="8">
        <f t="shared" si="55"/>
        <v>0</v>
      </c>
    </row>
    <row r="165" spans="5:19">
      <c r="E165" s="8" t="str">
        <f xml:space="preserve"> E$61</f>
        <v>Difference in WRFIM adjustment BR - real</v>
      </c>
      <c r="F165" s="8">
        <f t="shared" ref="F165:S165" si="56" xml:space="preserve"> F$61</f>
        <v>0</v>
      </c>
      <c r="G165" s="8" t="str">
        <f t="shared" si="56"/>
        <v>£m</v>
      </c>
      <c r="H165" s="8">
        <f t="shared" si="56"/>
        <v>0</v>
      </c>
      <c r="I165" s="8">
        <f t="shared" si="56"/>
        <v>0</v>
      </c>
      <c r="J165" s="8">
        <f t="shared" si="56"/>
        <v>0</v>
      </c>
      <c r="K165" s="8">
        <f t="shared" si="56"/>
        <v>0</v>
      </c>
      <c r="L165" s="8">
        <f t="shared" si="56"/>
        <v>0</v>
      </c>
      <c r="M165" s="8">
        <f t="shared" si="56"/>
        <v>0</v>
      </c>
      <c r="N165" s="8">
        <f t="shared" si="56"/>
        <v>0</v>
      </c>
      <c r="O165" s="8">
        <f t="shared" si="56"/>
        <v>0</v>
      </c>
      <c r="P165" s="8">
        <f t="shared" si="56"/>
        <v>0</v>
      </c>
      <c r="Q165" s="8">
        <f t="shared" si="56"/>
        <v>0</v>
      </c>
      <c r="R165" s="8">
        <f t="shared" si="56"/>
        <v>0</v>
      </c>
      <c r="S165" s="8">
        <f t="shared" si="56"/>
        <v>0</v>
      </c>
    </row>
    <row r="166" spans="5:19">
      <c r="E166" s="8" t="str">
        <f xml:space="preserve"> E$62</f>
        <v>Difference in WRFIM adjustment DMMY - real</v>
      </c>
      <c r="F166" s="8">
        <f t="shared" ref="F166:S166" si="57" xml:space="preserve"> F$62</f>
        <v>0</v>
      </c>
      <c r="G166" s="8" t="str">
        <f t="shared" si="57"/>
        <v>£m</v>
      </c>
      <c r="H166" s="8">
        <f t="shared" si="57"/>
        <v>0</v>
      </c>
      <c r="I166" s="8">
        <f t="shared" si="57"/>
        <v>0</v>
      </c>
      <c r="J166" s="8">
        <f t="shared" si="57"/>
        <v>0</v>
      </c>
      <c r="K166" s="8">
        <f t="shared" si="57"/>
        <v>0</v>
      </c>
      <c r="L166" s="8">
        <f t="shared" si="57"/>
        <v>0</v>
      </c>
      <c r="M166" s="8">
        <f t="shared" si="57"/>
        <v>0</v>
      </c>
      <c r="N166" s="8">
        <f t="shared" si="57"/>
        <v>0</v>
      </c>
      <c r="O166" s="8">
        <f t="shared" si="57"/>
        <v>0</v>
      </c>
      <c r="P166" s="8">
        <f t="shared" si="57"/>
        <v>0</v>
      </c>
      <c r="Q166" s="8">
        <f t="shared" si="57"/>
        <v>0</v>
      </c>
      <c r="R166" s="8">
        <f t="shared" si="57"/>
        <v>0</v>
      </c>
      <c r="S166" s="8">
        <f t="shared" si="57"/>
        <v>0</v>
      </c>
    </row>
    <row r="168" spans="5:19">
      <c r="E168" s="8" t="str">
        <f t="shared" ref="E168:S168" si="58" xml:space="preserve"> E$143</f>
        <v>Difference in allowed revenue WR - real</v>
      </c>
      <c r="F168" s="8">
        <f t="shared" si="58"/>
        <v>0</v>
      </c>
      <c r="G168" s="8" t="str">
        <f t="shared" si="58"/>
        <v>£m</v>
      </c>
      <c r="H168" s="164">
        <f t="shared" si="58"/>
        <v>-5.4022967624738243</v>
      </c>
      <c r="I168" s="8">
        <f t="shared" si="58"/>
        <v>0</v>
      </c>
      <c r="J168" s="164">
        <f t="shared" si="58"/>
        <v>0</v>
      </c>
      <c r="K168" s="164">
        <f t="shared" si="58"/>
        <v>0</v>
      </c>
      <c r="L168" s="164">
        <f t="shared" si="58"/>
        <v>-4.1563772570938795E-2</v>
      </c>
      <c r="M168" s="164">
        <f t="shared" si="58"/>
        <v>-0.58857914112714127</v>
      </c>
      <c r="N168" s="164">
        <f t="shared" si="58"/>
        <v>-0.84475156899858916</v>
      </c>
      <c r="O168" s="164">
        <f t="shared" si="58"/>
        <v>-1.9762038542161235</v>
      </c>
      <c r="P168" s="164">
        <f t="shared" si="58"/>
        <v>-1.9511984255610315</v>
      </c>
      <c r="Q168" s="164">
        <f t="shared" si="58"/>
        <v>0</v>
      </c>
      <c r="R168" s="164">
        <f t="shared" si="58"/>
        <v>0</v>
      </c>
      <c r="S168" s="164">
        <f t="shared" si="58"/>
        <v>0</v>
      </c>
    </row>
    <row r="169" spans="5:19">
      <c r="E169" s="8" t="str">
        <f t="shared" ref="E169:S169" si="59" xml:space="preserve"> E$144</f>
        <v>Difference in allowed revenue WN - real</v>
      </c>
      <c r="F169" s="8">
        <f t="shared" si="59"/>
        <v>0</v>
      </c>
      <c r="G169" s="8" t="str">
        <f t="shared" si="59"/>
        <v>£m</v>
      </c>
      <c r="H169" s="164">
        <f t="shared" si="59"/>
        <v>-47.263484554305819</v>
      </c>
      <c r="I169" s="8">
        <f t="shared" si="59"/>
        <v>0</v>
      </c>
      <c r="J169" s="164">
        <f t="shared" si="59"/>
        <v>0</v>
      </c>
      <c r="K169" s="164">
        <f t="shared" si="59"/>
        <v>0</v>
      </c>
      <c r="L169" s="164">
        <f t="shared" si="59"/>
        <v>5.704063854375363E-2</v>
      </c>
      <c r="M169" s="164">
        <f t="shared" si="59"/>
        <v>-8.7044977432127553</v>
      </c>
      <c r="N169" s="164">
        <f t="shared" si="59"/>
        <v>-7.3492030928860004</v>
      </c>
      <c r="O169" s="164">
        <f t="shared" si="59"/>
        <v>-17.755774918878615</v>
      </c>
      <c r="P169" s="164">
        <f t="shared" si="59"/>
        <v>-13.511049437872202</v>
      </c>
      <c r="Q169" s="164">
        <f t="shared" si="59"/>
        <v>0</v>
      </c>
      <c r="R169" s="164">
        <f t="shared" si="59"/>
        <v>0</v>
      </c>
      <c r="S169" s="164">
        <f t="shared" si="59"/>
        <v>0</v>
      </c>
    </row>
    <row r="170" spans="5:19">
      <c r="E170" s="8" t="str">
        <f t="shared" ref="E170:S170" si="60" xml:space="preserve"> E$145</f>
        <v>Difference in allowed revenue WWN - real</v>
      </c>
      <c r="F170" s="8">
        <f t="shared" si="60"/>
        <v>0</v>
      </c>
      <c r="G170" s="8" t="str">
        <f t="shared" si="60"/>
        <v>£m</v>
      </c>
      <c r="H170" s="164">
        <f t="shared" si="60"/>
        <v>-66.108926906575675</v>
      </c>
      <c r="I170" s="8">
        <f t="shared" si="60"/>
        <v>0</v>
      </c>
      <c r="J170" s="164">
        <f t="shared" si="60"/>
        <v>0</v>
      </c>
      <c r="K170" s="164">
        <f t="shared" si="60"/>
        <v>0</v>
      </c>
      <c r="L170" s="164">
        <f t="shared" si="60"/>
        <v>-3.3558182208594189E-2</v>
      </c>
      <c r="M170" s="164">
        <f t="shared" si="60"/>
        <v>-13.733588770398796</v>
      </c>
      <c r="N170" s="164">
        <f t="shared" si="60"/>
        <v>-8.8858563638096939</v>
      </c>
      <c r="O170" s="164">
        <f t="shared" si="60"/>
        <v>-21.026056866107865</v>
      </c>
      <c r="P170" s="164">
        <f t="shared" si="60"/>
        <v>-22.429866724050726</v>
      </c>
      <c r="Q170" s="164">
        <f t="shared" si="60"/>
        <v>0</v>
      </c>
      <c r="R170" s="164">
        <f t="shared" si="60"/>
        <v>0</v>
      </c>
      <c r="S170" s="164">
        <f t="shared" si="60"/>
        <v>0</v>
      </c>
    </row>
    <row r="171" spans="5:19">
      <c r="E171" s="8" t="str">
        <f t="shared" ref="E171:S171" si="61" xml:space="preserve"> E$146</f>
        <v>Difference in allowed revenue BR - real</v>
      </c>
      <c r="F171" s="8">
        <f t="shared" si="61"/>
        <v>0</v>
      </c>
      <c r="G171" s="8" t="str">
        <f t="shared" si="61"/>
        <v>£m</v>
      </c>
      <c r="H171" s="164">
        <f t="shared" si="61"/>
        <v>-11.910728884540219</v>
      </c>
      <c r="I171" s="8">
        <f t="shared" si="61"/>
        <v>0</v>
      </c>
      <c r="J171" s="164">
        <f t="shared" si="61"/>
        <v>0</v>
      </c>
      <c r="K171" s="164">
        <f t="shared" si="61"/>
        <v>0</v>
      </c>
      <c r="L171" s="164">
        <f t="shared" si="61"/>
        <v>0.24774606338506544</v>
      </c>
      <c r="M171" s="164">
        <f t="shared" si="61"/>
        <v>-2.671158958259511</v>
      </c>
      <c r="N171" s="164">
        <f t="shared" si="61"/>
        <v>-1.9693544397549374</v>
      </c>
      <c r="O171" s="164">
        <f t="shared" si="61"/>
        <v>-3.9673982617537007</v>
      </c>
      <c r="P171" s="164">
        <f t="shared" si="61"/>
        <v>-3.5505632881571358</v>
      </c>
      <c r="Q171" s="164">
        <f t="shared" si="61"/>
        <v>0</v>
      </c>
      <c r="R171" s="164">
        <f t="shared" si="61"/>
        <v>0</v>
      </c>
      <c r="S171" s="164">
        <f t="shared" si="61"/>
        <v>0</v>
      </c>
    </row>
    <row r="172" spans="5:19">
      <c r="E172" s="8" t="str">
        <f t="shared" ref="E172:S172" si="62" xml:space="preserve"> E$147</f>
        <v>Difference in allowed revenue DMMY - real</v>
      </c>
      <c r="F172" s="8">
        <f t="shared" si="62"/>
        <v>0</v>
      </c>
      <c r="G172" s="8" t="str">
        <f t="shared" si="62"/>
        <v>£m</v>
      </c>
      <c r="H172" s="164">
        <f t="shared" si="62"/>
        <v>0</v>
      </c>
      <c r="I172" s="8">
        <f t="shared" si="62"/>
        <v>0</v>
      </c>
      <c r="J172" s="164">
        <f t="shared" si="62"/>
        <v>0</v>
      </c>
      <c r="K172" s="164">
        <f t="shared" si="62"/>
        <v>0</v>
      </c>
      <c r="L172" s="164">
        <f t="shared" si="62"/>
        <v>0</v>
      </c>
      <c r="M172" s="164">
        <f t="shared" si="62"/>
        <v>0</v>
      </c>
      <c r="N172" s="164">
        <f t="shared" si="62"/>
        <v>0</v>
      </c>
      <c r="O172" s="164">
        <f t="shared" si="62"/>
        <v>0</v>
      </c>
      <c r="P172" s="164">
        <f t="shared" si="62"/>
        <v>0</v>
      </c>
      <c r="Q172" s="164">
        <f t="shared" si="62"/>
        <v>0</v>
      </c>
      <c r="R172" s="164">
        <f t="shared" si="62"/>
        <v>0</v>
      </c>
      <c r="S172" s="164">
        <f t="shared" si="62"/>
        <v>0</v>
      </c>
    </row>
    <row r="174" spans="5:19">
      <c r="E174" s="8" t="s">
        <v>219</v>
      </c>
      <c r="J174" s="155">
        <f>J150-J168-J156-J162</f>
        <v>0</v>
      </c>
      <c r="K174" s="155">
        <f>K150-K168-K156-K162</f>
        <v>0</v>
      </c>
      <c r="L174" s="155">
        <f t="shared" ref="L174:S174" si="63">L150-L168-L156-L162</f>
        <v>-1.9984014443252818E-15</v>
      </c>
      <c r="M174" s="155">
        <f t="shared" si="63"/>
        <v>-9.1038288019262836E-15</v>
      </c>
      <c r="N174" s="155">
        <f t="shared" si="63"/>
        <v>5.1070259132757201E-15</v>
      </c>
      <c r="O174" s="155">
        <f t="shared" si="63"/>
        <v>-4.6629367034256575E-15</v>
      </c>
      <c r="P174" s="155">
        <f t="shared" si="63"/>
        <v>5.5511151231257827E-15</v>
      </c>
      <c r="Q174" s="155">
        <f t="shared" si="63"/>
        <v>0</v>
      </c>
      <c r="R174" s="155">
        <f t="shared" si="63"/>
        <v>0</v>
      </c>
      <c r="S174" s="155">
        <f t="shared" si="63"/>
        <v>0</v>
      </c>
    </row>
    <row r="175" spans="5:19">
      <c r="E175" s="8" t="s">
        <v>220</v>
      </c>
      <c r="J175" s="155">
        <f t="shared" ref="J175:S175" si="64">J151-J169-J157-J163</f>
        <v>0</v>
      </c>
      <c r="K175" s="155">
        <f t="shared" si="64"/>
        <v>0</v>
      </c>
      <c r="L175" s="155">
        <f t="shared" si="64"/>
        <v>2.5313084961453569E-14</v>
      </c>
      <c r="M175" s="155">
        <f t="shared" si="64"/>
        <v>1.2123635428906709E-13</v>
      </c>
      <c r="N175" s="155">
        <f t="shared" si="64"/>
        <v>6.616929226765933E-14</v>
      </c>
      <c r="O175" s="155">
        <f t="shared" si="64"/>
        <v>3.0198066269804258E-14</v>
      </c>
      <c r="P175" s="155">
        <f t="shared" si="64"/>
        <v>5.8619775700208265E-14</v>
      </c>
      <c r="Q175" s="155">
        <f t="shared" si="64"/>
        <v>0</v>
      </c>
      <c r="R175" s="155">
        <f t="shared" si="64"/>
        <v>0</v>
      </c>
      <c r="S175" s="155">
        <f t="shared" si="64"/>
        <v>0</v>
      </c>
    </row>
    <row r="176" spans="5:19">
      <c r="E176" s="8" t="s">
        <v>221</v>
      </c>
      <c r="J176" s="155">
        <f t="shared" ref="J176:S176" si="65">J152-J170-J158-J164</f>
        <v>0</v>
      </c>
      <c r="K176" s="155">
        <f t="shared" si="65"/>
        <v>0</v>
      </c>
      <c r="L176" s="155">
        <f t="shared" si="65"/>
        <v>1.4876988529977098E-14</v>
      </c>
      <c r="M176" s="155">
        <f t="shared" si="65"/>
        <v>3.2640556923979602E-14</v>
      </c>
      <c r="N176" s="155">
        <f t="shared" si="65"/>
        <v>2.0206059048177849E-14</v>
      </c>
      <c r="O176" s="155">
        <f t="shared" si="65"/>
        <v>1.6431300764452317E-14</v>
      </c>
      <c r="P176" s="155">
        <f t="shared" si="65"/>
        <v>-8.4376949871511897E-15</v>
      </c>
      <c r="Q176" s="155">
        <f t="shared" si="65"/>
        <v>0</v>
      </c>
      <c r="R176" s="155">
        <f t="shared" si="65"/>
        <v>0</v>
      </c>
      <c r="S176" s="155">
        <f t="shared" si="65"/>
        <v>0</v>
      </c>
    </row>
    <row r="177" spans="5:19">
      <c r="E177" s="8" t="s">
        <v>222</v>
      </c>
      <c r="J177" s="155">
        <f t="shared" ref="J177:S177" si="66">J153-J171-J159-J165</f>
        <v>0</v>
      </c>
      <c r="K177" s="155">
        <f t="shared" si="66"/>
        <v>0</v>
      </c>
      <c r="L177" s="155">
        <f t="shared" si="66"/>
        <v>-3.1086244689504383E-15</v>
      </c>
      <c r="M177" s="155">
        <f t="shared" si="66"/>
        <v>-7.1054273576010019E-15</v>
      </c>
      <c r="N177" s="155">
        <f t="shared" si="66"/>
        <v>-5.3290705182007514E-15</v>
      </c>
      <c r="O177" s="155">
        <f t="shared" si="66"/>
        <v>5.3290705182007514E-15</v>
      </c>
      <c r="P177" s="155">
        <f t="shared" si="66"/>
        <v>5.3290705182007514E-15</v>
      </c>
      <c r="Q177" s="155">
        <f t="shared" si="66"/>
        <v>0</v>
      </c>
      <c r="R177" s="155">
        <f t="shared" si="66"/>
        <v>0</v>
      </c>
      <c r="S177" s="155">
        <f t="shared" si="66"/>
        <v>0</v>
      </c>
    </row>
    <row r="178" spans="5:19">
      <c r="E178" s="8" t="s">
        <v>223</v>
      </c>
      <c r="J178" s="155">
        <f t="shared" ref="J178:S178" si="67">J154-J172-J160-J166</f>
        <v>0</v>
      </c>
      <c r="K178" s="155">
        <f t="shared" si="67"/>
        <v>0</v>
      </c>
      <c r="L178" s="155">
        <f t="shared" si="67"/>
        <v>0</v>
      </c>
      <c r="M178" s="155">
        <f t="shared" si="67"/>
        <v>0</v>
      </c>
      <c r="N178" s="155">
        <f t="shared" si="67"/>
        <v>0</v>
      </c>
      <c r="O178" s="155">
        <f t="shared" si="67"/>
        <v>0</v>
      </c>
      <c r="P178" s="155">
        <f t="shared" si="67"/>
        <v>0</v>
      </c>
      <c r="Q178" s="155">
        <f t="shared" si="67"/>
        <v>0</v>
      </c>
      <c r="R178" s="155">
        <f t="shared" si="67"/>
        <v>0</v>
      </c>
      <c r="S178" s="155">
        <f t="shared" si="67"/>
        <v>0</v>
      </c>
    </row>
    <row r="180" spans="5:19">
      <c r="E180" s="165" t="str">
        <f xml:space="preserve"> Inputs!E$20</f>
        <v>Model Check Tolerance Level</v>
      </c>
      <c r="F180" s="168">
        <f xml:space="preserve"> Inputs!F$20</f>
        <v>1E-3</v>
      </c>
      <c r="G180" s="167" t="str">
        <f xml:space="preserve"> Inputs!G$20</f>
        <v>tolerance</v>
      </c>
    </row>
    <row r="181" spans="5:19">
      <c r="E181" s="165"/>
      <c r="F181" s="166"/>
      <c r="G181" s="167"/>
    </row>
    <row r="182" spans="5:19">
      <c r="E182" s="8" t="str">
        <f t="shared" ref="E182:S182" si="68" xml:space="preserve"> E$174</f>
        <v>Difference on tax - difference on allowed revenue (adjusted for reconciliation adjustments) WR</v>
      </c>
      <c r="F182" s="8">
        <f t="shared" si="68"/>
        <v>0</v>
      </c>
      <c r="G182" s="8">
        <f t="shared" si="68"/>
        <v>0</v>
      </c>
      <c r="H182" s="8">
        <f t="shared" si="68"/>
        <v>0</v>
      </c>
      <c r="I182" s="8">
        <f t="shared" si="68"/>
        <v>0</v>
      </c>
      <c r="J182" s="50">
        <f t="shared" si="68"/>
        <v>0</v>
      </c>
      <c r="K182" s="8">
        <f t="shared" si="68"/>
        <v>0</v>
      </c>
      <c r="L182" s="8">
        <f t="shared" si="68"/>
        <v>-1.9984014443252818E-15</v>
      </c>
      <c r="M182" s="8">
        <f t="shared" si="68"/>
        <v>-9.1038288019262836E-15</v>
      </c>
      <c r="N182" s="8">
        <f t="shared" si="68"/>
        <v>5.1070259132757201E-15</v>
      </c>
      <c r="O182" s="8">
        <f t="shared" si="68"/>
        <v>-4.6629367034256575E-15</v>
      </c>
      <c r="P182" s="8">
        <f t="shared" si="68"/>
        <v>5.5511151231257827E-15</v>
      </c>
      <c r="Q182" s="8">
        <f t="shared" si="68"/>
        <v>0</v>
      </c>
      <c r="R182" s="8">
        <f t="shared" si="68"/>
        <v>0</v>
      </c>
      <c r="S182" s="8">
        <f t="shared" si="68"/>
        <v>0</v>
      </c>
    </row>
    <row r="183" spans="5:19">
      <c r="E183" s="8" t="str">
        <f t="shared" ref="E183:S183" si="69" xml:space="preserve"> E$175</f>
        <v>Difference on tax - difference on allowed revenue (adjusted for reconciliation adjustments) WN</v>
      </c>
      <c r="F183" s="8">
        <f t="shared" si="69"/>
        <v>0</v>
      </c>
      <c r="G183" s="8">
        <f t="shared" si="69"/>
        <v>0</v>
      </c>
      <c r="H183" s="8">
        <f t="shared" si="69"/>
        <v>0</v>
      </c>
      <c r="I183" s="8">
        <f t="shared" si="69"/>
        <v>0</v>
      </c>
      <c r="J183" s="8">
        <f t="shared" si="69"/>
        <v>0</v>
      </c>
      <c r="K183" s="8">
        <f t="shared" si="69"/>
        <v>0</v>
      </c>
      <c r="L183" s="8">
        <f t="shared" si="69"/>
        <v>2.5313084961453569E-14</v>
      </c>
      <c r="M183" s="8">
        <f t="shared" si="69"/>
        <v>1.2123635428906709E-13</v>
      </c>
      <c r="N183" s="8">
        <f t="shared" si="69"/>
        <v>6.616929226765933E-14</v>
      </c>
      <c r="O183" s="8">
        <f t="shared" si="69"/>
        <v>3.0198066269804258E-14</v>
      </c>
      <c r="P183" s="8">
        <f t="shared" si="69"/>
        <v>5.8619775700208265E-14</v>
      </c>
      <c r="Q183" s="8">
        <f t="shared" si="69"/>
        <v>0</v>
      </c>
      <c r="R183" s="8">
        <f t="shared" si="69"/>
        <v>0</v>
      </c>
      <c r="S183" s="8">
        <f t="shared" si="69"/>
        <v>0</v>
      </c>
    </row>
    <row r="184" spans="5:19">
      <c r="E184" s="8" t="str">
        <f t="shared" ref="E184:S184" si="70" xml:space="preserve"> E$176</f>
        <v>Difference on tax - difference on allowed revenue (adjusted for reconciliation adjustments) WWN</v>
      </c>
      <c r="F184" s="8">
        <f t="shared" si="70"/>
        <v>0</v>
      </c>
      <c r="G184" s="8">
        <f t="shared" si="70"/>
        <v>0</v>
      </c>
      <c r="H184" s="8">
        <f t="shared" si="70"/>
        <v>0</v>
      </c>
      <c r="I184" s="8">
        <f t="shared" si="70"/>
        <v>0</v>
      </c>
      <c r="J184" s="8">
        <f t="shared" si="70"/>
        <v>0</v>
      </c>
      <c r="K184" s="8">
        <f t="shared" si="70"/>
        <v>0</v>
      </c>
      <c r="L184" s="8">
        <f t="shared" si="70"/>
        <v>1.4876988529977098E-14</v>
      </c>
      <c r="M184" s="8">
        <f t="shared" si="70"/>
        <v>3.2640556923979602E-14</v>
      </c>
      <c r="N184" s="8">
        <f t="shared" si="70"/>
        <v>2.0206059048177849E-14</v>
      </c>
      <c r="O184" s="8">
        <f t="shared" si="70"/>
        <v>1.6431300764452317E-14</v>
      </c>
      <c r="P184" s="8">
        <f t="shared" si="70"/>
        <v>-8.4376949871511897E-15</v>
      </c>
      <c r="Q184" s="8">
        <f t="shared" si="70"/>
        <v>0</v>
      </c>
      <c r="R184" s="8">
        <f t="shared" si="70"/>
        <v>0</v>
      </c>
      <c r="S184" s="8">
        <f t="shared" si="70"/>
        <v>0</v>
      </c>
    </row>
    <row r="185" spans="5:19">
      <c r="E185" s="8" t="str">
        <f t="shared" ref="E185:S185" si="71" xml:space="preserve"> E$177</f>
        <v>Difference on tax - difference on allowed revenue (adjusted for reconciliation adjustments) BR</v>
      </c>
      <c r="F185" s="8">
        <f t="shared" si="71"/>
        <v>0</v>
      </c>
      <c r="G185" s="8">
        <f t="shared" si="71"/>
        <v>0</v>
      </c>
      <c r="H185" s="8">
        <f t="shared" si="71"/>
        <v>0</v>
      </c>
      <c r="I185" s="8">
        <f t="shared" si="71"/>
        <v>0</v>
      </c>
      <c r="J185" s="8">
        <f t="shared" si="71"/>
        <v>0</v>
      </c>
      <c r="K185" s="8">
        <f t="shared" si="71"/>
        <v>0</v>
      </c>
      <c r="L185" s="8">
        <f t="shared" si="71"/>
        <v>-3.1086244689504383E-15</v>
      </c>
      <c r="M185" s="8">
        <f t="shared" si="71"/>
        <v>-7.1054273576010019E-15</v>
      </c>
      <c r="N185" s="8">
        <f t="shared" si="71"/>
        <v>-5.3290705182007514E-15</v>
      </c>
      <c r="O185" s="8">
        <f t="shared" si="71"/>
        <v>5.3290705182007514E-15</v>
      </c>
      <c r="P185" s="8">
        <f t="shared" si="71"/>
        <v>5.3290705182007514E-15</v>
      </c>
      <c r="Q185" s="8">
        <f t="shared" si="71"/>
        <v>0</v>
      </c>
      <c r="R185" s="8">
        <f t="shared" si="71"/>
        <v>0</v>
      </c>
      <c r="S185" s="8">
        <f t="shared" si="71"/>
        <v>0</v>
      </c>
    </row>
    <row r="186" spans="5:19">
      <c r="E186" s="8" t="str">
        <f t="shared" ref="E186:S186" si="72" xml:space="preserve"> E$178</f>
        <v>Difference on tax - difference on allowed revenue (adjusted for reconciliation adjustments) DMMY</v>
      </c>
      <c r="F186" s="8">
        <f t="shared" si="72"/>
        <v>0</v>
      </c>
      <c r="G186" s="8">
        <f t="shared" si="72"/>
        <v>0</v>
      </c>
      <c r="H186" s="8">
        <f t="shared" si="72"/>
        <v>0</v>
      </c>
      <c r="I186" s="8">
        <f t="shared" si="72"/>
        <v>0</v>
      </c>
      <c r="J186" s="8">
        <f t="shared" si="72"/>
        <v>0</v>
      </c>
      <c r="K186" s="8">
        <f t="shared" si="72"/>
        <v>0</v>
      </c>
      <c r="L186" s="8">
        <f t="shared" si="72"/>
        <v>0</v>
      </c>
      <c r="M186" s="8">
        <f t="shared" si="72"/>
        <v>0</v>
      </c>
      <c r="N186" s="8">
        <f t="shared" si="72"/>
        <v>0</v>
      </c>
      <c r="O186" s="8">
        <f t="shared" si="72"/>
        <v>0</v>
      </c>
      <c r="P186" s="8">
        <f t="shared" si="72"/>
        <v>0</v>
      </c>
      <c r="Q186" s="8">
        <f t="shared" si="72"/>
        <v>0</v>
      </c>
      <c r="R186" s="8">
        <f t="shared" si="72"/>
        <v>0</v>
      </c>
      <c r="S186" s="8">
        <f t="shared" si="72"/>
        <v>0</v>
      </c>
    </row>
    <row r="188" spans="5:19">
      <c r="E188" s="8" t="s">
        <v>224</v>
      </c>
      <c r="G188" s="8" t="s">
        <v>169</v>
      </c>
      <c r="J188" s="32">
        <f>IF($F$180&lt;ABS(J182),1,0)</f>
        <v>0</v>
      </c>
      <c r="K188" s="32">
        <f t="shared" ref="K188:S188" si="73">IF($F$180&lt;ABS(K182),1,0)</f>
        <v>0</v>
      </c>
      <c r="L188" s="32">
        <f t="shared" si="73"/>
        <v>0</v>
      </c>
      <c r="M188" s="32">
        <f t="shared" si="73"/>
        <v>0</v>
      </c>
      <c r="N188" s="32">
        <f t="shared" si="73"/>
        <v>0</v>
      </c>
      <c r="O188" s="32">
        <f t="shared" si="73"/>
        <v>0</v>
      </c>
      <c r="P188" s="32">
        <f t="shared" si="73"/>
        <v>0</v>
      </c>
      <c r="Q188" s="32">
        <f t="shared" si="73"/>
        <v>0</v>
      </c>
      <c r="R188" s="32">
        <f t="shared" si="73"/>
        <v>0</v>
      </c>
      <c r="S188" s="32">
        <f t="shared" si="73"/>
        <v>0</v>
      </c>
    </row>
    <row r="189" spans="5:19">
      <c r="E189" s="8" t="s">
        <v>225</v>
      </c>
      <c r="G189" s="8" t="s">
        <v>169</v>
      </c>
      <c r="J189" s="32">
        <f t="shared" ref="J189:S189" si="74">IF($F$180&lt;ABS(J183),1,0)</f>
        <v>0</v>
      </c>
      <c r="K189" s="32">
        <f t="shared" si="74"/>
        <v>0</v>
      </c>
      <c r="L189" s="32">
        <f t="shared" si="74"/>
        <v>0</v>
      </c>
      <c r="M189" s="32">
        <f t="shared" si="74"/>
        <v>0</v>
      </c>
      <c r="N189" s="32">
        <f t="shared" si="74"/>
        <v>0</v>
      </c>
      <c r="O189" s="32">
        <f t="shared" si="74"/>
        <v>0</v>
      </c>
      <c r="P189" s="32">
        <f t="shared" si="74"/>
        <v>0</v>
      </c>
      <c r="Q189" s="32">
        <f t="shared" si="74"/>
        <v>0</v>
      </c>
      <c r="R189" s="32">
        <f t="shared" si="74"/>
        <v>0</v>
      </c>
      <c r="S189" s="32">
        <f t="shared" si="74"/>
        <v>0</v>
      </c>
    </row>
    <row r="190" spans="5:19">
      <c r="E190" s="8" t="s">
        <v>226</v>
      </c>
      <c r="G190" s="8" t="s">
        <v>169</v>
      </c>
      <c r="J190" s="32">
        <f t="shared" ref="J190:S190" si="75">IF($F$180&lt;ABS(J184),1,0)</f>
        <v>0</v>
      </c>
      <c r="K190" s="32">
        <f t="shared" si="75"/>
        <v>0</v>
      </c>
      <c r="L190" s="32">
        <f t="shared" si="75"/>
        <v>0</v>
      </c>
      <c r="M190" s="32">
        <f t="shared" si="75"/>
        <v>0</v>
      </c>
      <c r="N190" s="32">
        <f t="shared" si="75"/>
        <v>0</v>
      </c>
      <c r="O190" s="32">
        <f t="shared" si="75"/>
        <v>0</v>
      </c>
      <c r="P190" s="32">
        <f t="shared" si="75"/>
        <v>0</v>
      </c>
      <c r="Q190" s="32">
        <f t="shared" si="75"/>
        <v>0</v>
      </c>
      <c r="R190" s="32">
        <f t="shared" si="75"/>
        <v>0</v>
      </c>
      <c r="S190" s="32">
        <f t="shared" si="75"/>
        <v>0</v>
      </c>
    </row>
    <row r="191" spans="5:19">
      <c r="E191" s="8" t="s">
        <v>227</v>
      </c>
      <c r="G191" s="8" t="s">
        <v>169</v>
      </c>
      <c r="J191" s="32">
        <f t="shared" ref="J191:S191" si="76">IF($F$180&lt;ABS(J185),1,0)</f>
        <v>0</v>
      </c>
      <c r="K191" s="32">
        <f t="shared" si="76"/>
        <v>0</v>
      </c>
      <c r="L191" s="32">
        <f t="shared" si="76"/>
        <v>0</v>
      </c>
      <c r="M191" s="32">
        <f t="shared" si="76"/>
        <v>0</v>
      </c>
      <c r="N191" s="32">
        <f t="shared" si="76"/>
        <v>0</v>
      </c>
      <c r="O191" s="32">
        <f t="shared" si="76"/>
        <v>0</v>
      </c>
      <c r="P191" s="32">
        <f t="shared" si="76"/>
        <v>0</v>
      </c>
      <c r="Q191" s="32">
        <f t="shared" si="76"/>
        <v>0</v>
      </c>
      <c r="R191" s="32">
        <f t="shared" si="76"/>
        <v>0</v>
      </c>
      <c r="S191" s="32">
        <f t="shared" si="76"/>
        <v>0</v>
      </c>
    </row>
    <row r="192" spans="5:19">
      <c r="E192" s="8" t="s">
        <v>228</v>
      </c>
      <c r="G192" s="8" t="s">
        <v>169</v>
      </c>
      <c r="J192" s="32">
        <f t="shared" ref="J192:S192" si="77">IF($F$180&lt;ABS(J186),1,0)</f>
        <v>0</v>
      </c>
      <c r="K192" s="32">
        <f t="shared" si="77"/>
        <v>0</v>
      </c>
      <c r="L192" s="32">
        <f t="shared" si="77"/>
        <v>0</v>
      </c>
      <c r="M192" s="32">
        <f t="shared" si="77"/>
        <v>0</v>
      </c>
      <c r="N192" s="32">
        <f t="shared" si="77"/>
        <v>0</v>
      </c>
      <c r="O192" s="32">
        <f t="shared" si="77"/>
        <v>0</v>
      </c>
      <c r="P192" s="32">
        <f t="shared" si="77"/>
        <v>0</v>
      </c>
      <c r="Q192" s="32">
        <f t="shared" si="77"/>
        <v>0</v>
      </c>
      <c r="R192" s="32">
        <f t="shared" si="77"/>
        <v>0</v>
      </c>
      <c r="S192" s="32">
        <f t="shared" si="77"/>
        <v>0</v>
      </c>
    </row>
    <row r="194" spans="1:7">
      <c r="E194" s="8" t="s">
        <v>229</v>
      </c>
      <c r="F194" s="32">
        <f xml:space="preserve"> IF(SUM(L188:P188) &lt;&gt; 0, 1, 0)</f>
        <v>0</v>
      </c>
      <c r="G194" s="8" t="s">
        <v>169</v>
      </c>
    </row>
    <row r="195" spans="1:7">
      <c r="E195" s="8" t="s">
        <v>230</v>
      </c>
      <c r="F195" s="32">
        <f xml:space="preserve"> IF(SUM(L189:P189) &lt;&gt; 0, 1, 0)</f>
        <v>0</v>
      </c>
      <c r="G195" s="8" t="s">
        <v>169</v>
      </c>
    </row>
    <row r="196" spans="1:7">
      <c r="E196" s="8" t="s">
        <v>231</v>
      </c>
      <c r="F196" s="32">
        <f xml:space="preserve"> IF(SUM(L190:P190) &lt;&gt; 0, 1, 0)</f>
        <v>0</v>
      </c>
      <c r="G196" s="8" t="s">
        <v>169</v>
      </c>
    </row>
    <row r="197" spans="1:7">
      <c r="E197" s="8" t="s">
        <v>232</v>
      </c>
      <c r="F197" s="32">
        <f xml:space="preserve"> IF(SUM(L191:P191) &lt;&gt; 0, 1, 0)</f>
        <v>0</v>
      </c>
      <c r="G197" s="8" t="s">
        <v>169</v>
      </c>
    </row>
    <row r="198" spans="1:7">
      <c r="E198" s="8" t="s">
        <v>233</v>
      </c>
      <c r="F198" s="32">
        <f xml:space="preserve"> IF(SUM(L192:P192) &lt;&gt; 0, 1, 0)</f>
        <v>0</v>
      </c>
      <c r="G198" s="8" t="s">
        <v>169</v>
      </c>
    </row>
    <row r="200" spans="1:7" s="1" customFormat="1">
      <c r="A200" s="14" t="s">
        <v>51</v>
      </c>
    </row>
  </sheetData>
  <conditionalFormatting sqref="J3:R3">
    <cfRule type="cellIs" dxfId="27" priority="16" operator="equal">
      <formula>"Post-Fcst"</formula>
    </cfRule>
    <cfRule type="cellIs" dxfId="26" priority="17" operator="equal">
      <formula>"Forecast"</formula>
    </cfRule>
    <cfRule type="cellIs" dxfId="25" priority="18" operator="equal">
      <formula>"Pre Fcst"</formula>
    </cfRule>
  </conditionalFormatting>
  <conditionalFormatting sqref="F2">
    <cfRule type="cellIs" dxfId="24" priority="10" stopIfTrue="1" operator="notEqual">
      <formula>0</formula>
    </cfRule>
    <cfRule type="cellIs" dxfId="23" priority="11" stopIfTrue="1" operator="equal">
      <formula>""</formula>
    </cfRule>
  </conditionalFormatting>
  <conditionalFormatting sqref="S3">
    <cfRule type="cellIs" dxfId="22" priority="7" operator="equal">
      <formula>"Post-Fcst"</formula>
    </cfRule>
    <cfRule type="cellIs" dxfId="21" priority="8" operator="equal">
      <formula>"Forecast"</formula>
    </cfRule>
    <cfRule type="cellIs" dxfId="20" priority="9" operator="equal">
      <formula>"Pre Fcst"</formula>
    </cfRule>
  </conditionalFormatting>
  <conditionalFormatting sqref="J188:S192">
    <cfRule type="cellIs" dxfId="19" priority="5" stopIfTrue="1" operator="notEqual">
      <formula>0</formula>
    </cfRule>
    <cfRule type="cellIs" dxfId="18" priority="6" stopIfTrue="1" operator="equal">
      <formula>""</formula>
    </cfRule>
  </conditionalFormatting>
  <conditionalFormatting sqref="F194:F198">
    <cfRule type="cellIs" dxfId="17" priority="1" stopIfTrue="1" operator="notEqual">
      <formula>0</formula>
    </cfRule>
    <cfRule type="cellIs" dxfId="16" priority="2" stopIfTrue="1" operator="equal">
      <formula>""</formula>
    </cfRule>
  </conditionalFormatting>
  <printOptions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&amp;LPage &amp;P of &amp;N&amp;CSheet: &amp;A</oddHeader>
    <oddFooter>&amp;L&amp;F (Printed on &amp;D at &amp;T) 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9CCFF"/>
    <pageSetUpPr fitToPage="1"/>
  </sheetPr>
  <dimension ref="A1:L78"/>
  <sheetViews>
    <sheetView tabSelected="1" topLeftCell="A5" workbookViewId="0">
      <selection activeCell="G11" sqref="G11"/>
    </sheetView>
  </sheetViews>
  <sheetFormatPr defaultColWidth="0" defaultRowHeight="13.2" zeroHeight="1"/>
  <cols>
    <col min="1" max="3" width="3.77734375" style="269" customWidth="1"/>
    <col min="4" max="4" width="44.21875" style="269" bestFit="1" customWidth="1"/>
    <col min="5" max="6" width="18.21875" style="269" customWidth="1"/>
    <col min="7" max="7" width="9.21875" style="269" customWidth="1"/>
    <col min="8" max="8" width="20.5546875" style="269" customWidth="1"/>
    <col min="9" max="9" width="10.21875" style="269" customWidth="1"/>
    <col min="10" max="10" width="11.21875" style="269" customWidth="1"/>
    <col min="11" max="12" width="9.21875" style="269" customWidth="1"/>
    <col min="13" max="16384" width="9.21875" style="269" hidden="1"/>
  </cols>
  <sheetData>
    <row r="1" spans="1:12" ht="24.6">
      <c r="A1" s="117" t="str">
        <f ca="1" xml:space="preserve"> RIGHT(CELL("filename", $A$1), LEN(CELL("filename", $A$1)) - SEARCH("]", CELL("filename", $A$1)))</f>
        <v>Dashboard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/>
    <row r="3" spans="1:12">
      <c r="D3" s="269" t="s">
        <v>234</v>
      </c>
      <c r="E3" s="270" t="e">
        <f ca="1">SUBSTITUTE(LEFT(_xlfn.FORMULATEXT(Inputs!E43),FIND("]",_xlfn.FORMULATEXT(Inputs!E43))-1),"[","")</f>
        <v>#N/A</v>
      </c>
    </row>
    <row r="4" spans="1:12">
      <c r="D4" s="269" t="s">
        <v>235</v>
      </c>
      <c r="E4" s="270" t="e">
        <f ca="1">SUBSTITUTE(LEFT(_xlfn.FORMULATEXT(Inputs!E169),FIND("]",_xlfn.FORMULATEXT(Inputs!E169))-1),"[","")</f>
        <v>#N/A</v>
      </c>
    </row>
    <row r="5" spans="1:12"/>
    <row r="6" spans="1:12" ht="26.4">
      <c r="D6" s="274" t="s">
        <v>236</v>
      </c>
      <c r="E6" s="274" t="s">
        <v>237</v>
      </c>
      <c r="F6" s="274" t="s">
        <v>238</v>
      </c>
    </row>
    <row r="7" spans="1:12" ht="26.4">
      <c r="D7" s="278" t="s">
        <v>239</v>
      </c>
      <c r="E7" s="279" t="s">
        <v>240</v>
      </c>
      <c r="F7" s="280">
        <f>Calcs!F92</f>
        <v>-5.5681824238631279</v>
      </c>
    </row>
    <row r="8" spans="1:12" ht="26.4">
      <c r="D8" s="278" t="s">
        <v>241</v>
      </c>
      <c r="E8" s="279" t="s">
        <v>240</v>
      </c>
      <c r="F8" s="280">
        <f>Calcs!F101</f>
        <v>-46.892921442911614</v>
      </c>
    </row>
    <row r="9" spans="1:12" ht="26.4">
      <c r="D9" s="278" t="s">
        <v>242</v>
      </c>
      <c r="E9" s="279" t="s">
        <v>240</v>
      </c>
      <c r="F9" s="280">
        <f>Calcs!F110</f>
        <v>-67.576399265971546</v>
      </c>
    </row>
    <row r="10" spans="1:12" ht="26.4">
      <c r="D10" s="278" t="s">
        <v>243</v>
      </c>
      <c r="E10" s="279" t="s">
        <v>240</v>
      </c>
      <c r="F10" s="280">
        <f>Calcs!F119</f>
        <v>-12.353864620905965</v>
      </c>
    </row>
    <row r="11" spans="1:12" ht="26.4">
      <c r="D11" s="278" t="s">
        <v>244</v>
      </c>
      <c r="E11" s="279" t="s">
        <v>240</v>
      </c>
      <c r="F11" s="280">
        <f>Calcs!F128</f>
        <v>0</v>
      </c>
    </row>
    <row r="12" spans="1:12"/>
    <row r="13" spans="1:12">
      <c r="D13" s="274"/>
      <c r="E13" s="274" t="s">
        <v>27</v>
      </c>
      <c r="F13" s="274" t="s">
        <v>245</v>
      </c>
    </row>
    <row r="14" spans="1:12">
      <c r="D14" s="275" t="s">
        <v>246</v>
      </c>
      <c r="E14" s="276">
        <f>Inputs!F127</f>
        <v>0</v>
      </c>
      <c r="F14" s="276">
        <f>Inputs!F253</f>
        <v>0</v>
      </c>
    </row>
    <row r="15" spans="1:12">
      <c r="D15" s="275" t="s">
        <v>247</v>
      </c>
      <c r="E15" s="298">
        <f>Inputs!F129</f>
        <v>0</v>
      </c>
      <c r="F15" s="298">
        <f>Inputs!F255</f>
        <v>0</v>
      </c>
    </row>
    <row r="16" spans="1:12"/>
    <row r="17" spans="4:6">
      <c r="D17" s="274"/>
      <c r="E17" s="274" t="s">
        <v>27</v>
      </c>
      <c r="F17" s="274" t="s">
        <v>245</v>
      </c>
    </row>
    <row r="18" spans="4:6">
      <c r="D18" s="275" t="s">
        <v>248</v>
      </c>
      <c r="E18" s="277">
        <f>Inputs!F117</f>
        <v>0.18</v>
      </c>
      <c r="F18" s="277">
        <f>Inputs!F243</f>
        <v>0.18</v>
      </c>
    </row>
    <row r="19" spans="4:6">
      <c r="D19" s="275" t="s">
        <v>249</v>
      </c>
      <c r="E19" s="277">
        <f>Inputs!F118</f>
        <v>0.06</v>
      </c>
      <c r="F19" s="277">
        <f>Inputs!F244</f>
        <v>0.06</v>
      </c>
    </row>
    <row r="20" spans="4:6">
      <c r="D20" s="275" t="s">
        <v>250</v>
      </c>
      <c r="E20" s="277">
        <f>Inputs!F119</f>
        <v>0.02</v>
      </c>
      <c r="F20" s="277">
        <f>Inputs!F245</f>
        <v>0.03</v>
      </c>
    </row>
    <row r="21" spans="4:6">
      <c r="D21" s="275" t="s">
        <v>251</v>
      </c>
      <c r="E21" s="277">
        <f>Inputs!L$121</f>
        <v>0.17</v>
      </c>
      <c r="F21" s="277">
        <f>Inputs!L$247</f>
        <v>0.19</v>
      </c>
    </row>
    <row r="22" spans="4:6">
      <c r="D22" s="275" t="s">
        <v>252</v>
      </c>
      <c r="E22" s="277">
        <f>Inputs!M$121</f>
        <v>0.17</v>
      </c>
      <c r="F22" s="277">
        <f>Inputs!M$247</f>
        <v>0.19</v>
      </c>
    </row>
    <row r="23" spans="4:6">
      <c r="D23" s="275" t="s">
        <v>253</v>
      </c>
      <c r="E23" s="277">
        <f>Inputs!N$121</f>
        <v>0.17</v>
      </c>
      <c r="F23" s="277">
        <f>Inputs!N$247</f>
        <v>0.19</v>
      </c>
    </row>
    <row r="24" spans="4:6">
      <c r="D24" s="275" t="s">
        <v>254</v>
      </c>
      <c r="E24" s="277">
        <f>Inputs!O$121</f>
        <v>0.17</v>
      </c>
      <c r="F24" s="277">
        <f>Inputs!O$247</f>
        <v>0.25</v>
      </c>
    </row>
    <row r="25" spans="4:6">
      <c r="D25" s="275" t="s">
        <v>255</v>
      </c>
      <c r="E25" s="277">
        <f>Inputs!P$121</f>
        <v>0.17</v>
      </c>
      <c r="F25" s="277">
        <f>Inputs!P$247</f>
        <v>0.25</v>
      </c>
    </row>
    <row r="26" spans="4:6">
      <c r="D26" s="275" t="s">
        <v>256</v>
      </c>
      <c r="E26" s="277">
        <f xml:space="preserve"> Inputs!L$61</f>
        <v>1.1490003519418313E-2</v>
      </c>
      <c r="F26" s="277">
        <f>Inputs!L$249</f>
        <v>1.427449580173068E-2</v>
      </c>
    </row>
    <row r="27" spans="4:6">
      <c r="D27" s="275" t="s">
        <v>257</v>
      </c>
      <c r="E27" s="277">
        <f xml:space="preserve"> Inputs!M$61</f>
        <v>1.1490003519418313E-2</v>
      </c>
      <c r="F27" s="277">
        <f>Inputs!M$249</f>
        <v>1.2478158635960135E-2</v>
      </c>
    </row>
    <row r="28" spans="4:6">
      <c r="D28" s="275" t="s">
        <v>258</v>
      </c>
      <c r="E28" s="277">
        <f xml:space="preserve"> Inputs!N$61</f>
        <v>1.1490003519418313E-2</v>
      </c>
      <c r="F28" s="277">
        <f>Inputs!N$249</f>
        <v>1.1712575270535597E-2</v>
      </c>
    </row>
    <row r="29" spans="4:6">
      <c r="D29" s="275" t="s">
        <v>259</v>
      </c>
      <c r="E29" s="277">
        <f xml:space="preserve"> Inputs!O$61</f>
        <v>1.1490003519418313E-2</v>
      </c>
      <c r="F29" s="277">
        <f>Inputs!O$249</f>
        <v>1.2230148354421599E-2</v>
      </c>
    </row>
    <row r="30" spans="4:6">
      <c r="D30" s="275" t="s">
        <v>260</v>
      </c>
      <c r="E30" s="277">
        <f xml:space="preserve"> Inputs!P$61</f>
        <v>1.1490003519418313E-2</v>
      </c>
      <c r="F30" s="277">
        <f>Inputs!P$249</f>
        <v>1.3106033220900315E-2</v>
      </c>
    </row>
    <row r="31" spans="4:6">
      <c r="D31" s="275" t="s">
        <v>261</v>
      </c>
      <c r="E31" s="277">
        <f xml:space="preserve"> Inputs!L$62</f>
        <v>0.03</v>
      </c>
      <c r="F31" s="277">
        <f>Inputs!L$250</f>
        <v>0.03</v>
      </c>
    </row>
    <row r="32" spans="4:6">
      <c r="D32" s="275" t="s">
        <v>262</v>
      </c>
      <c r="E32" s="277">
        <f xml:space="preserve"> Inputs!M$62</f>
        <v>0.03</v>
      </c>
      <c r="F32" s="277">
        <f>Inputs!M$250</f>
        <v>0.03</v>
      </c>
    </row>
    <row r="33" spans="4:6">
      <c r="D33" s="275" t="s">
        <v>263</v>
      </c>
      <c r="E33" s="277">
        <f xml:space="preserve"> Inputs!N$62</f>
        <v>0.03</v>
      </c>
      <c r="F33" s="277">
        <f>Inputs!N$250</f>
        <v>0.03</v>
      </c>
    </row>
    <row r="34" spans="4:6">
      <c r="D34" s="275" t="s">
        <v>264</v>
      </c>
      <c r="E34" s="277">
        <f xml:space="preserve"> Inputs!O$62</f>
        <v>0.03</v>
      </c>
      <c r="F34" s="277">
        <f>Inputs!O$250</f>
        <v>0.03</v>
      </c>
    </row>
    <row r="35" spans="4:6">
      <c r="D35" s="275" t="s">
        <v>265</v>
      </c>
      <c r="E35" s="277">
        <f xml:space="preserve"> Inputs!P$62</f>
        <v>0.03</v>
      </c>
      <c r="F35" s="277">
        <f>Inputs!P$250</f>
        <v>0.03</v>
      </c>
    </row>
    <row r="36" spans="4:6">
      <c r="D36" s="275" t="s">
        <v>266</v>
      </c>
      <c r="E36" s="277">
        <f xml:space="preserve"> Inputs!L$63</f>
        <v>4.1834703625000857E-2</v>
      </c>
      <c r="F36" s="277">
        <f>Inputs!L$251</f>
        <v>4.4702730675782454E-2</v>
      </c>
    </row>
    <row r="37" spans="4:6">
      <c r="D37" s="275" t="s">
        <v>267</v>
      </c>
      <c r="E37" s="277">
        <f xml:space="preserve"> Inputs!M$63</f>
        <v>4.1834703625000857E-2</v>
      </c>
      <c r="F37" s="277">
        <f>Inputs!M$251</f>
        <v>4.2852503395038766E-2</v>
      </c>
    </row>
    <row r="38" spans="4:6">
      <c r="D38" s="275" t="s">
        <v>268</v>
      </c>
      <c r="E38" s="277">
        <f xml:space="preserve"> Inputs!N$63</f>
        <v>4.1834703625000857E-2</v>
      </c>
      <c r="F38" s="277">
        <f>Inputs!N$251</f>
        <v>4.2063952528651805E-2</v>
      </c>
    </row>
    <row r="39" spans="4:6">
      <c r="D39" s="275" t="s">
        <v>269</v>
      </c>
      <c r="E39" s="277">
        <f xml:space="preserve"> Inputs!O$63</f>
        <v>4.1834703625000857E-2</v>
      </c>
      <c r="F39" s="277">
        <f>Inputs!O$251</f>
        <v>4.2597052805054436E-2</v>
      </c>
    </row>
    <row r="40" spans="4:6">
      <c r="D40" s="275" t="s">
        <v>270</v>
      </c>
      <c r="E40" s="277">
        <f xml:space="preserve"> Inputs!P$63</f>
        <v>4.1834703625000857E-2</v>
      </c>
      <c r="F40" s="277">
        <f>Inputs!P$251</f>
        <v>4.3499214217527338E-2</v>
      </c>
    </row>
    <row r="41" spans="4:6">
      <c r="D41" s="275" t="s">
        <v>271</v>
      </c>
      <c r="E41" s="304">
        <f xml:space="preserve"> Inputs!F$81</f>
        <v>0</v>
      </c>
      <c r="F41" s="304">
        <f xml:space="preserve"> Inputs!F$207</f>
        <v>0</v>
      </c>
    </row>
    <row r="42" spans="4:6">
      <c r="D42" s="275" t="s">
        <v>272</v>
      </c>
      <c r="E42" s="304">
        <f xml:space="preserve"> Inputs!F$82</f>
        <v>0</v>
      </c>
      <c r="F42" s="304">
        <f xml:space="preserve"> Inputs!F$208</f>
        <v>0</v>
      </c>
    </row>
    <row r="43" spans="4:6">
      <c r="D43" s="275" t="s">
        <v>273</v>
      </c>
      <c r="E43" s="304">
        <f xml:space="preserve"> Inputs!F$83</f>
        <v>0</v>
      </c>
      <c r="F43" s="304">
        <f xml:space="preserve"> Inputs!F$209</f>
        <v>0</v>
      </c>
    </row>
    <row r="44" spans="4:6">
      <c r="D44" s="275" t="s">
        <v>274</v>
      </c>
      <c r="E44" s="304">
        <f xml:space="preserve"> Inputs!F$84</f>
        <v>0</v>
      </c>
      <c r="F44" s="304">
        <f xml:space="preserve"> Inputs!F$210</f>
        <v>0</v>
      </c>
    </row>
    <row r="45" spans="4:6">
      <c r="D45" s="275" t="s">
        <v>275</v>
      </c>
      <c r="E45" s="304">
        <f xml:space="preserve"> Inputs!F$85</f>
        <v>0</v>
      </c>
      <c r="F45" s="304">
        <f xml:space="preserve"> Inputs!F$211</f>
        <v>0</v>
      </c>
    </row>
    <row r="46" spans="4:6">
      <c r="D46" s="275" t="s">
        <v>276</v>
      </c>
      <c r="E46" s="304">
        <f xml:space="preserve"> Inputs!F$87</f>
        <v>0</v>
      </c>
      <c r="F46" s="304">
        <f xml:space="preserve"> Inputs!F$213</f>
        <v>0</v>
      </c>
    </row>
    <row r="47" spans="4:6">
      <c r="D47" s="275" t="s">
        <v>277</v>
      </c>
      <c r="E47" s="304">
        <f xml:space="preserve"> Inputs!F$88</f>
        <v>0</v>
      </c>
      <c r="F47" s="304">
        <f xml:space="preserve"> Inputs!F$214</f>
        <v>0</v>
      </c>
    </row>
    <row r="48" spans="4:6">
      <c r="D48" s="275" t="s">
        <v>278</v>
      </c>
      <c r="E48" s="304">
        <f xml:space="preserve"> Inputs!F$89</f>
        <v>0</v>
      </c>
      <c r="F48" s="304">
        <f xml:space="preserve"> Inputs!F$215</f>
        <v>0</v>
      </c>
    </row>
    <row r="49" spans="1:6">
      <c r="D49" s="275" t="s">
        <v>279</v>
      </c>
      <c r="E49" s="304">
        <f xml:space="preserve"> Inputs!F$90</f>
        <v>0</v>
      </c>
      <c r="F49" s="304">
        <f xml:space="preserve"> Inputs!F$216</f>
        <v>0</v>
      </c>
    </row>
    <row r="50" spans="1:6">
      <c r="D50" s="275" t="s">
        <v>280</v>
      </c>
      <c r="E50" s="304">
        <f xml:space="preserve"> Inputs!F$91</f>
        <v>0</v>
      </c>
      <c r="F50" s="304">
        <f xml:space="preserve"> Inputs!F$217</f>
        <v>0</v>
      </c>
    </row>
    <row r="51" spans="1:6">
      <c r="E51" s="303"/>
      <c r="F51" s="303"/>
    </row>
    <row r="52" spans="1:6">
      <c r="E52" s="303"/>
      <c r="F52" s="303"/>
    </row>
    <row r="53" spans="1:6"/>
    <row r="54" spans="1:6" s="282" customFormat="1">
      <c r="A54" s="281" t="s">
        <v>51</v>
      </c>
    </row>
    <row r="55" spans="1:6"/>
    <row r="58" spans="1:6"/>
    <row r="59" spans="1:6"/>
    <row r="60" spans="1:6"/>
    <row r="61" spans="1:6"/>
    <row r="62" spans="1:6"/>
    <row r="63" spans="1:6"/>
    <row r="64" spans="1:6"/>
    <row r="65"/>
    <row r="66"/>
    <row r="67"/>
    <row r="68"/>
    <row r="69"/>
    <row r="70"/>
    <row r="71"/>
    <row r="72"/>
    <row r="73"/>
    <row r="74"/>
    <row r="75"/>
    <row r="76"/>
    <row r="77"/>
    <row r="78"/>
  </sheetData>
  <conditionalFormatting sqref="E15:F15">
    <cfRule type="cellIs" dxfId="15" priority="1" stopIfTrue="1" operator="notEqual">
      <formula>0</formula>
    </cfRule>
    <cfRule type="cellIs" dxfId="14" priority="2" stopIfTrue="1" operator="equal">
      <formula>""</formula>
    </cfRule>
  </conditionalFormatting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FF"/>
    <outlinePr summaryBelow="0" summaryRight="0"/>
  </sheetPr>
  <dimension ref="A1:CA25"/>
  <sheetViews>
    <sheetView zoomScaleNormal="100" workbookViewId="0">
      <pane ySplit="5" topLeftCell="A6" activePane="bottomLeft" state="frozen"/>
      <selection pane="bottomLeft" activeCell="G17" sqref="G17"/>
    </sheetView>
  </sheetViews>
  <sheetFormatPr defaultColWidth="0" defaultRowHeight="13.2" zeroHeight="1"/>
  <cols>
    <col min="1" max="1" width="1.21875" style="13" customWidth="1"/>
    <col min="2" max="3" width="1.21875" style="10" customWidth="1"/>
    <col min="4" max="4" width="1.21875" style="11" customWidth="1"/>
    <col min="5" max="5" width="40.77734375" style="8" customWidth="1"/>
    <col min="6" max="6" width="12.77734375" style="8" customWidth="1"/>
    <col min="7" max="8" width="11.77734375" style="8" customWidth="1"/>
    <col min="9" max="9" width="2.77734375" style="8" customWidth="1"/>
    <col min="10" max="79" width="11.77734375" style="8" hidden="1" customWidth="1"/>
    <col min="80" max="16384" width="0" style="8" hidden="1"/>
  </cols>
  <sheetData>
    <row r="1" spans="1:27" s="121" customFormat="1" ht="25.2">
      <c r="A1" s="117" t="str">
        <f ca="1" xml:space="preserve"> RIGHT(CELL("filename", $A$1), LEN(CELL("filename", $A$1)) - SEARCH("]", CELL("filename", $A$1)))</f>
        <v>Checks</v>
      </c>
      <c r="B1" s="118"/>
      <c r="C1" s="119"/>
      <c r="D1" s="120"/>
      <c r="T1" s="122"/>
      <c r="U1" s="122"/>
      <c r="V1" s="122"/>
      <c r="W1" s="122"/>
      <c r="X1" s="122"/>
      <c r="Y1" s="122"/>
      <c r="Z1" s="122"/>
      <c r="AA1" s="122"/>
    </row>
    <row r="2" spans="1:27" s="31" customFormat="1">
      <c r="B2" s="61"/>
      <c r="C2" s="107"/>
      <c r="D2" s="56"/>
      <c r="E2" s="27" t="str">
        <f>Time!E$22</f>
        <v>Model Period END</v>
      </c>
      <c r="F2" s="32">
        <f xml:space="preserve"> Checks!$F$9</f>
        <v>0</v>
      </c>
      <c r="G2" s="27" t="s">
        <v>98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52"/>
      <c r="U2" s="52"/>
      <c r="V2" s="52"/>
      <c r="W2" s="52"/>
      <c r="X2" s="52"/>
      <c r="Y2" s="52"/>
      <c r="Z2" s="52"/>
      <c r="AA2" s="52"/>
    </row>
    <row r="3" spans="1:27" s="5" customFormat="1">
      <c r="B3" s="62"/>
      <c r="C3" s="108"/>
      <c r="D3" s="57"/>
      <c r="E3" s="27" t="str">
        <f>Time!E$58</f>
        <v>Pre Forecast vs Forecast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52"/>
      <c r="U3" s="52"/>
      <c r="V3" s="52"/>
      <c r="W3" s="52"/>
      <c r="X3" s="52"/>
      <c r="Y3" s="52"/>
      <c r="Z3" s="52"/>
      <c r="AA3" s="52"/>
    </row>
    <row r="4" spans="1:27" s="28" customFormat="1">
      <c r="B4" s="63"/>
      <c r="C4" s="109"/>
      <c r="D4" s="58"/>
      <c r="E4" s="26" t="str">
        <f>Time!E$86</f>
        <v>Financial Year Ending</v>
      </c>
      <c r="F4" s="26"/>
      <c r="G4" s="26"/>
      <c r="H4" s="26"/>
      <c r="I4" s="26"/>
      <c r="J4"/>
      <c r="K4"/>
      <c r="L4"/>
      <c r="M4"/>
      <c r="N4"/>
      <c r="O4"/>
      <c r="P4"/>
      <c r="Q4"/>
      <c r="R4"/>
      <c r="S4"/>
      <c r="T4" s="29"/>
      <c r="U4" s="29"/>
      <c r="V4" s="29"/>
      <c r="W4" s="29"/>
      <c r="X4" s="29"/>
      <c r="Y4" s="29"/>
      <c r="Z4" s="29"/>
      <c r="AA4" s="29"/>
    </row>
    <row r="5" spans="1:27" s="28" customFormat="1">
      <c r="B5" s="63"/>
      <c r="C5" s="109"/>
      <c r="D5" s="58"/>
      <c r="E5" s="26" t="str">
        <f>Time!E$10</f>
        <v>Model column counter</v>
      </c>
      <c r="F5" s="5" t="s">
        <v>99</v>
      </c>
      <c r="G5" s="5" t="s">
        <v>100</v>
      </c>
      <c r="H5" s="5" t="s">
        <v>101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9"/>
      <c r="U5" s="29"/>
      <c r="V5" s="29"/>
      <c r="W5" s="29"/>
      <c r="X5" s="29"/>
      <c r="Y5" s="29"/>
      <c r="Z5" s="29"/>
      <c r="AA5" s="29"/>
    </row>
    <row r="6" spans="1:27"/>
    <row r="7" spans="1:27">
      <c r="A7" s="13" t="s">
        <v>281</v>
      </c>
    </row>
    <row r="8" spans="1:27"/>
    <row r="9" spans="1:27">
      <c r="E9" s="8" t="s">
        <v>282</v>
      </c>
      <c r="F9" s="32">
        <f>SUM(F11:F20)</f>
        <v>0</v>
      </c>
      <c r="G9" s="8" t="s">
        <v>283</v>
      </c>
    </row>
    <row r="10" spans="1:27"/>
    <row r="11" spans="1:27" s="17" customFormat="1">
      <c r="A11" s="20"/>
      <c r="B11" s="19"/>
      <c r="C11" s="19"/>
      <c r="D11" s="18"/>
      <c r="E11" s="17" t="s">
        <v>284</v>
      </c>
      <c r="F11" s="17" t="s">
        <v>285</v>
      </c>
    </row>
    <row r="12" spans="1:27"/>
    <row r="13" spans="1:27">
      <c r="E13" s="8" t="str">
        <f xml:space="preserve"> Time!E$77</f>
        <v>Modelling Period Check</v>
      </c>
      <c r="F13" s="36">
        <f xml:space="preserve"> Time!F$77</f>
        <v>0</v>
      </c>
      <c r="G13" s="8" t="str">
        <f xml:space="preserve"> Time!G$77</f>
        <v>check</v>
      </c>
    </row>
    <row r="14" spans="1:27">
      <c r="E14" s="8" t="str">
        <f xml:space="preserve"> Calcs!E$194</f>
        <v>Check summary WR</v>
      </c>
      <c r="F14" s="36">
        <f xml:space="preserve"> Calcs!F$194</f>
        <v>0</v>
      </c>
      <c r="G14" s="8" t="str">
        <f xml:space="preserve"> Calcs!G$194</f>
        <v>check</v>
      </c>
    </row>
    <row r="15" spans="1:27">
      <c r="E15" s="8" t="str">
        <f xml:space="preserve"> Calcs!E$195</f>
        <v>Check summary WN</v>
      </c>
      <c r="F15" s="36">
        <f xml:space="preserve"> Calcs!F$195</f>
        <v>0</v>
      </c>
      <c r="G15" s="8" t="str">
        <f xml:space="preserve"> Calcs!G$195</f>
        <v>check</v>
      </c>
    </row>
    <row r="16" spans="1:27">
      <c r="E16" s="8" t="str">
        <f xml:space="preserve"> Calcs!E$196</f>
        <v>Check summary WWN</v>
      </c>
      <c r="F16" s="36">
        <f xml:space="preserve"> Calcs!F$196</f>
        <v>0</v>
      </c>
      <c r="G16" s="8" t="str">
        <f xml:space="preserve"> Calcs!G$196</f>
        <v>check</v>
      </c>
    </row>
    <row r="17" spans="1:7">
      <c r="E17" s="8" t="str">
        <f xml:space="preserve"> Calcs!E$197</f>
        <v>Check summary BR</v>
      </c>
      <c r="F17" s="36">
        <f xml:space="preserve"> Calcs!F$197</f>
        <v>0</v>
      </c>
      <c r="G17" s="8" t="str">
        <f xml:space="preserve"> Calcs!G$197</f>
        <v>check</v>
      </c>
    </row>
    <row r="18" spans="1:7">
      <c r="E18" s="8" t="str">
        <f xml:space="preserve"> Calcs!E$198</f>
        <v>Check summary DMMY</v>
      </c>
      <c r="F18" s="36">
        <f xml:space="preserve"> Calcs!F$198</f>
        <v>0</v>
      </c>
      <c r="G18" s="8" t="str">
        <f xml:space="preserve"> Calcs!G$198</f>
        <v>check</v>
      </c>
    </row>
    <row r="19" spans="1:7"/>
    <row r="20" spans="1:7" s="17" customFormat="1">
      <c r="A20" s="20"/>
      <c r="B20" s="19"/>
      <c r="C20" s="19"/>
      <c r="D20" s="18"/>
      <c r="E20" s="17" t="s">
        <v>284</v>
      </c>
      <c r="F20" s="17" t="s">
        <v>286</v>
      </c>
    </row>
    <row r="21" spans="1:7"/>
    <row r="22" spans="1:7"/>
    <row r="23" spans="1:7" s="1" customFormat="1">
      <c r="A23" s="14" t="s">
        <v>51</v>
      </c>
    </row>
    <row r="24" spans="1:7"/>
    <row r="25" spans="1:7"/>
  </sheetData>
  <conditionalFormatting sqref="F13:F18">
    <cfRule type="cellIs" dxfId="13" priority="17" stopIfTrue="1" operator="notEqual">
      <formula>0</formula>
    </cfRule>
    <cfRule type="cellIs" dxfId="12" priority="18" stopIfTrue="1" operator="equal">
      <formula>""</formula>
    </cfRule>
  </conditionalFormatting>
  <conditionalFormatting sqref="F9">
    <cfRule type="cellIs" dxfId="11" priority="15" stopIfTrue="1" operator="notEqual">
      <formula>0</formula>
    </cfRule>
    <cfRule type="cellIs" dxfId="10" priority="16" stopIfTrue="1" operator="equal">
      <formula>""</formula>
    </cfRule>
  </conditionalFormatting>
  <conditionalFormatting sqref="J3:AA3">
    <cfRule type="cellIs" dxfId="9" priority="5" operator="equal">
      <formula>"Post-Fcst"</formula>
    </cfRule>
    <cfRule type="cellIs" dxfId="8" priority="6" operator="equal">
      <formula>"Forecast"</formula>
    </cfRule>
    <cfRule type="cellIs" dxfId="7" priority="7" operator="equal">
      <formula>"Pre Fcst"</formula>
    </cfRule>
  </conditionalFormatting>
  <conditionalFormatting sqref="F2">
    <cfRule type="cellIs" dxfId="6" priority="1" stopIfTrue="1" operator="notEqual">
      <formula>0</formula>
    </cfRule>
    <cfRule type="cellIs" dxfId="5" priority="2" stopIfTrue="1" operator="equal">
      <formula>""</formula>
    </cfRule>
  </conditionalFormatting>
  <printOptions headings="1"/>
  <pageMargins left="0.74803149606299213" right="0.74803149606299213" top="0.98425196850393704" bottom="0.98425196850393704" header="0.51181102362204722" footer="0.51181102362204722"/>
  <pageSetup paperSize="9" scale="55" orientation="landscape" blackAndWhite="1" horizontalDpi="300" verticalDpi="300" r:id="rId1"/>
  <headerFooter alignWithMargins="0">
    <oddHeader>&amp;LPage &amp;P of &amp;N&amp;CSheet: &amp;A</oddHeader>
    <oddFooter>&amp;L&amp;F (Printed on &amp;D at &amp;T) 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7">
    <tabColor rgb="FFCCFFFF"/>
    <outlinePr summaryBelow="0" summaryRight="0"/>
    <pageSetUpPr fitToPage="1"/>
  </sheetPr>
  <dimension ref="A1:O38"/>
  <sheetViews>
    <sheetView defaultGridColor="0" colorId="22" zoomScale="90" zoomScaleNormal="90" workbookViewId="0">
      <pane xSplit="9" ySplit="6" topLeftCell="J7" activePane="bottomRight" state="frozen"/>
      <selection pane="topRight"/>
      <selection pane="bottomLeft"/>
      <selection pane="bottomRight" activeCell="N12" sqref="N12"/>
    </sheetView>
  </sheetViews>
  <sheetFormatPr defaultColWidth="9.44140625" defaultRowHeight="13.2" zeroHeight="1" outlineLevelRow="1"/>
  <cols>
    <col min="1" max="1" width="3.21875" style="203" customWidth="1"/>
    <col min="2" max="2" width="1.44140625" style="203" customWidth="1"/>
    <col min="3" max="3" width="1.44140625" style="204" customWidth="1"/>
    <col min="4" max="4" width="1.44140625" style="205" customWidth="1"/>
    <col min="5" max="5" width="75.5546875" style="208" customWidth="1"/>
    <col min="6" max="6" width="12.5546875" style="208" customWidth="1"/>
    <col min="7" max="7" width="11.5546875" style="208" customWidth="1"/>
    <col min="8" max="8" width="15.5546875" style="199" customWidth="1"/>
    <col min="9" max="9" width="2.5546875" style="208" customWidth="1"/>
    <col min="10" max="10" width="5" style="208" customWidth="1"/>
    <col min="11" max="11" width="12.5546875" style="199" customWidth="1"/>
    <col min="12" max="12" width="12.5546875" style="210" customWidth="1"/>
    <col min="13" max="13" width="2.5546875" style="216" customWidth="1"/>
    <col min="14" max="14" width="28.5546875" style="291" bestFit="1" customWidth="1"/>
    <col min="15" max="15" width="2.5546875" style="217" customWidth="1"/>
    <col min="16" max="120" width="9.44140625" style="201" customWidth="1"/>
    <col min="121" max="16384" width="9.44140625" style="201"/>
  </cols>
  <sheetData>
    <row r="1" spans="1:15" ht="24.6">
      <c r="A1" s="187" t="str">
        <f ca="1" xml:space="preserve"> RIGHT(CELL("filename", $A$1), LEN(CELL("filename", $A$1)) - SEARCH("]", CELL("filename", $A$1)))</f>
        <v>Track</v>
      </c>
      <c r="B1" s="188"/>
      <c r="C1" s="189"/>
      <c r="D1" s="190"/>
      <c r="E1" s="191"/>
      <c r="F1" s="192"/>
      <c r="G1" s="193"/>
      <c r="H1" s="194"/>
      <c r="I1" s="191"/>
      <c r="J1" s="195"/>
      <c r="K1" s="196"/>
      <c r="L1" s="197"/>
      <c r="M1" s="198" t="s">
        <v>287</v>
      </c>
      <c r="N1" s="289"/>
      <c r="O1" s="200" t="s">
        <v>287</v>
      </c>
    </row>
    <row r="2" spans="1:15">
      <c r="A2" s="202"/>
      <c r="E2" s="206"/>
      <c r="F2" s="32">
        <f xml:space="preserve"> Checks!$F$9</f>
        <v>0</v>
      </c>
      <c r="G2" s="27" t="s">
        <v>98</v>
      </c>
      <c r="H2" s="207"/>
      <c r="J2" s="209">
        <f xml:space="preserve"> SUM(J7:J31)</f>
        <v>12</v>
      </c>
      <c r="M2" s="198"/>
      <c r="N2" s="289"/>
      <c r="O2" s="200"/>
    </row>
    <row r="3" spans="1:15">
      <c r="E3" s="211" t="s">
        <v>288</v>
      </c>
      <c r="F3" s="207"/>
      <c r="G3" s="207"/>
      <c r="H3" s="207"/>
      <c r="I3" s="204"/>
      <c r="J3" s="204"/>
      <c r="K3" s="212"/>
      <c r="L3" s="213"/>
      <c r="M3" s="214"/>
      <c r="N3" s="290"/>
      <c r="O3" s="215"/>
    </row>
    <row r="4" spans="1:15">
      <c r="F4" s="207"/>
      <c r="G4" s="207"/>
      <c r="H4" s="207"/>
      <c r="I4" s="204"/>
      <c r="J4" s="204"/>
    </row>
    <row r="5" spans="1:15">
      <c r="D5" s="208"/>
      <c r="F5" s="205"/>
      <c r="G5" s="218" t="s">
        <v>100</v>
      </c>
      <c r="J5" s="208">
        <f xml:space="preserve"> MATCH($H$6, M6:O6, 0)</f>
        <v>2</v>
      </c>
      <c r="K5" s="219" t="s">
        <v>289</v>
      </c>
      <c r="L5" s="204" t="s">
        <v>290</v>
      </c>
    </row>
    <row r="6" spans="1:15">
      <c r="D6" s="208"/>
      <c r="E6" s="208" t="s">
        <v>291</v>
      </c>
      <c r="F6" s="205"/>
      <c r="G6" s="199"/>
      <c r="H6" s="220" t="s">
        <v>292</v>
      </c>
      <c r="K6" s="219"/>
      <c r="L6" s="204"/>
      <c r="N6" s="288" t="s">
        <v>292</v>
      </c>
    </row>
    <row r="7" spans="1:15">
      <c r="A7" s="221"/>
      <c r="B7" s="221"/>
      <c r="C7" s="222"/>
      <c r="D7" s="223"/>
      <c r="E7" s="221" t="s">
        <v>293</v>
      </c>
      <c r="F7" s="223"/>
      <c r="G7" s="217"/>
      <c r="H7" s="224"/>
      <c r="I7" s="217"/>
      <c r="J7" s="217"/>
      <c r="K7" s="224"/>
      <c r="L7" s="225"/>
      <c r="N7" s="217"/>
    </row>
    <row r="8" spans="1:15" s="235" customFormat="1" ht="15" customHeight="1">
      <c r="A8" s="226"/>
      <c r="B8" s="226"/>
      <c r="C8" s="227"/>
      <c r="D8" s="228"/>
      <c r="E8" s="229"/>
      <c r="F8" s="228"/>
      <c r="G8" s="229"/>
      <c r="H8" s="230"/>
      <c r="I8" s="229"/>
      <c r="J8" s="229"/>
      <c r="K8" s="231"/>
      <c r="L8" s="232"/>
      <c r="M8" s="233"/>
      <c r="N8" s="232"/>
      <c r="O8" s="234"/>
    </row>
    <row r="9" spans="1:15" outlineLevel="1">
      <c r="A9" s="236"/>
      <c r="B9" s="236"/>
      <c r="C9" s="237"/>
      <c r="D9" s="208"/>
      <c r="E9" s="267" t="str">
        <f xml:space="preserve"> Calcs!E$89</f>
        <v>Revenue adjustment for WR - real</v>
      </c>
      <c r="F9" s="244">
        <f xml:space="preserve"> Calcs!F$89</f>
        <v>0</v>
      </c>
      <c r="G9" s="244" t="str">
        <f xml:space="preserve"> Calcs!G$89</f>
        <v>£m</v>
      </c>
      <c r="H9" s="244">
        <f xml:space="preserve"> Calcs!H$89</f>
        <v>-5.5681824238631279</v>
      </c>
      <c r="J9" s="240">
        <v>1</v>
      </c>
      <c r="K9" s="199">
        <f t="shared" ref="K9:K25" si="0" xml:space="preserve"> H9 - INDEX(M9:O9, $J$5)</f>
        <v>-5.5681824238631279</v>
      </c>
      <c r="L9" s="241">
        <v>0</v>
      </c>
      <c r="N9" s="242"/>
      <c r="O9" s="243"/>
    </row>
    <row r="10" spans="1:15" outlineLevel="1">
      <c r="A10" s="236"/>
      <c r="B10" s="236"/>
      <c r="C10" s="237"/>
      <c r="D10" s="208"/>
      <c r="E10" s="267" t="str">
        <f xml:space="preserve"> Calcs!E$98</f>
        <v>Revenue adjustment for WN - real</v>
      </c>
      <c r="F10" s="244">
        <f xml:space="preserve"> Calcs!F$98</f>
        <v>0</v>
      </c>
      <c r="G10" s="244" t="str">
        <f xml:space="preserve"> Calcs!G$98</f>
        <v>£m</v>
      </c>
      <c r="H10" s="244">
        <f xml:space="preserve"> Calcs!H$98</f>
        <v>-46.892921442911614</v>
      </c>
      <c r="J10" s="240">
        <v>1</v>
      </c>
      <c r="K10" s="199">
        <f t="shared" si="0"/>
        <v>-46.892921442911614</v>
      </c>
      <c r="L10" s="241">
        <v>0</v>
      </c>
      <c r="N10" s="242"/>
      <c r="O10" s="243"/>
    </row>
    <row r="11" spans="1:15" outlineLevel="1">
      <c r="A11" s="236"/>
      <c r="B11" s="236"/>
      <c r="C11" s="237"/>
      <c r="D11" s="208"/>
      <c r="E11" s="267" t="str">
        <f xml:space="preserve"> Calcs!E$107</f>
        <v>Revenue adjustment for WWN - real</v>
      </c>
      <c r="F11" s="244">
        <f xml:space="preserve"> Calcs!F$107</f>
        <v>0</v>
      </c>
      <c r="G11" s="244" t="str">
        <f xml:space="preserve"> Calcs!G$107</f>
        <v>£m</v>
      </c>
      <c r="H11" s="244">
        <f xml:space="preserve"> Calcs!H$107</f>
        <v>-67.576399265971546</v>
      </c>
      <c r="J11" s="240">
        <v>1</v>
      </c>
      <c r="K11" s="199">
        <f t="shared" si="0"/>
        <v>-67.576399265971546</v>
      </c>
      <c r="L11" s="241">
        <v>0</v>
      </c>
      <c r="N11" s="242"/>
      <c r="O11" s="243"/>
    </row>
    <row r="12" spans="1:15" outlineLevel="1">
      <c r="A12" s="236"/>
      <c r="B12" s="236"/>
      <c r="C12" s="237"/>
      <c r="D12" s="208"/>
      <c r="E12" s="267" t="str">
        <f xml:space="preserve"> Calcs!E$116</f>
        <v>Revenue adjustment for BR - real</v>
      </c>
      <c r="F12" s="244">
        <f xml:space="preserve"> Calcs!F$116</f>
        <v>0</v>
      </c>
      <c r="G12" s="244" t="str">
        <f xml:space="preserve"> Calcs!G$116</f>
        <v>£m</v>
      </c>
      <c r="H12" s="244">
        <f xml:space="preserve"> Calcs!H$116</f>
        <v>-12.353864620905965</v>
      </c>
      <c r="J12" s="240">
        <v>1</v>
      </c>
      <c r="K12" s="273">
        <f t="shared" si="0"/>
        <v>-12.353864620905965</v>
      </c>
      <c r="L12" s="241">
        <v>0</v>
      </c>
      <c r="N12" s="242"/>
      <c r="O12" s="243"/>
    </row>
    <row r="13" spans="1:15" outlineLevel="1">
      <c r="A13" s="236"/>
      <c r="B13" s="236"/>
      <c r="C13" s="237"/>
      <c r="D13" s="208"/>
      <c r="E13" s="267" t="str">
        <f xml:space="preserve"> Calcs!E$125</f>
        <v>Revenue adjustment for DMMY - real</v>
      </c>
      <c r="F13" s="244">
        <f xml:space="preserve"> Calcs!F$125</f>
        <v>0</v>
      </c>
      <c r="G13" s="244" t="str">
        <f xml:space="preserve"> Calcs!G$125</f>
        <v>£m</v>
      </c>
      <c r="H13" s="244">
        <f xml:space="preserve"> Calcs!H$125</f>
        <v>0</v>
      </c>
      <c r="J13" s="240">
        <v>0</v>
      </c>
      <c r="K13" s="199">
        <f t="shared" si="0"/>
        <v>0</v>
      </c>
      <c r="L13" s="241">
        <v>0</v>
      </c>
      <c r="N13" s="242"/>
      <c r="O13" s="243"/>
    </row>
    <row r="14" spans="1:15" outlineLevel="1">
      <c r="A14" s="236"/>
      <c r="B14" s="236"/>
      <c r="C14" s="237"/>
      <c r="D14" s="208"/>
      <c r="E14" s="238"/>
      <c r="F14" s="238"/>
      <c r="G14" s="238"/>
      <c r="H14" s="239"/>
      <c r="J14" s="240">
        <v>0</v>
      </c>
      <c r="K14" s="199">
        <f t="shared" si="0"/>
        <v>0</v>
      </c>
      <c r="L14" s="241">
        <v>0</v>
      </c>
      <c r="N14" s="242"/>
      <c r="O14" s="243"/>
    </row>
    <row r="15" spans="1:15" outlineLevel="1">
      <c r="A15" s="236"/>
      <c r="B15" s="236"/>
      <c r="C15" s="237"/>
      <c r="D15" s="208"/>
      <c r="E15" s="267" t="str">
        <f xml:space="preserve"> Calcs!E$20</f>
        <v>Difference in tax revenue WR - real</v>
      </c>
      <c r="F15" s="267">
        <f xml:space="preserve"> Calcs!F$20</f>
        <v>0</v>
      </c>
      <c r="G15" s="267" t="str">
        <f xml:space="preserve"> Calcs!G$20</f>
        <v>£m</v>
      </c>
      <c r="H15" s="268">
        <f xml:space="preserve"> Calcs!H$20</f>
        <v>-5.4022967624738296</v>
      </c>
      <c r="J15" s="240">
        <v>1</v>
      </c>
      <c r="K15" s="199">
        <f t="shared" si="0"/>
        <v>-5.4022967624738296</v>
      </c>
      <c r="L15" s="241">
        <v>0</v>
      </c>
      <c r="N15" s="242"/>
      <c r="O15" s="243"/>
    </row>
    <row r="16" spans="1:15" outlineLevel="1">
      <c r="A16" s="236"/>
      <c r="B16" s="236"/>
      <c r="C16" s="237"/>
      <c r="D16" s="208"/>
      <c r="E16" s="267" t="str">
        <f xml:space="preserve"> Calcs!E$21</f>
        <v>Difference in tax revenue WN - real</v>
      </c>
      <c r="F16" s="267">
        <f xml:space="preserve"> Calcs!F$21</f>
        <v>0</v>
      </c>
      <c r="G16" s="267" t="str">
        <f xml:space="preserve"> Calcs!G$21</f>
        <v>£m</v>
      </c>
      <c r="H16" s="268">
        <f xml:space="preserve"> Calcs!H$21</f>
        <v>-45.232873314950304</v>
      </c>
      <c r="J16" s="240">
        <v>1</v>
      </c>
      <c r="K16" s="199">
        <f t="shared" si="0"/>
        <v>-45.232873314950304</v>
      </c>
      <c r="L16" s="241">
        <v>0</v>
      </c>
      <c r="N16" s="242"/>
      <c r="O16" s="243"/>
    </row>
    <row r="17" spans="1:15" outlineLevel="1">
      <c r="A17" s="236"/>
      <c r="B17" s="236"/>
      <c r="C17" s="237"/>
      <c r="D17" s="208"/>
      <c r="E17" s="267" t="str">
        <f xml:space="preserve"> Calcs!E$22</f>
        <v>Difference in tax revenue WWN - real</v>
      </c>
      <c r="F17" s="267">
        <f xml:space="preserve"> Calcs!F$22</f>
        <v>0</v>
      </c>
      <c r="G17" s="267" t="str">
        <f xml:space="preserve"> Calcs!G$22</f>
        <v>£m</v>
      </c>
      <c r="H17" s="268">
        <f xml:space="preserve"> Calcs!H$22</f>
        <v>-65.224851001202296</v>
      </c>
      <c r="J17" s="240">
        <v>1</v>
      </c>
      <c r="K17" s="199">
        <f t="shared" si="0"/>
        <v>-65.224851001202296</v>
      </c>
      <c r="L17" s="241">
        <v>0</v>
      </c>
      <c r="N17" s="242"/>
      <c r="O17" s="243"/>
    </row>
    <row r="18" spans="1:15" outlineLevel="1">
      <c r="A18" s="236"/>
      <c r="B18" s="236"/>
      <c r="C18" s="237"/>
      <c r="D18" s="208"/>
      <c r="E18" s="267" t="str">
        <f xml:space="preserve"> Calcs!E$23</f>
        <v>Difference in tax revenue BR - real</v>
      </c>
      <c r="F18" s="267">
        <f xml:space="preserve"> Calcs!F$23</f>
        <v>0</v>
      </c>
      <c r="G18" s="267" t="str">
        <f xml:space="preserve"> Calcs!G$23</f>
        <v>£m</v>
      </c>
      <c r="H18" s="268">
        <f xml:space="preserve"> Calcs!H$23</f>
        <v>-11.910728884540225</v>
      </c>
      <c r="J18" s="240">
        <v>1</v>
      </c>
      <c r="K18" s="199">
        <f t="shared" si="0"/>
        <v>-11.910728884540225</v>
      </c>
      <c r="L18" s="241">
        <v>0</v>
      </c>
      <c r="N18" s="242"/>
      <c r="O18" s="243"/>
    </row>
    <row r="19" spans="1:15" outlineLevel="1">
      <c r="A19" s="236"/>
      <c r="B19" s="236"/>
      <c r="C19" s="237"/>
      <c r="D19" s="208"/>
      <c r="E19" s="267" t="str">
        <f xml:space="preserve"> Calcs!E$24</f>
        <v>Difference in tax revenue DMMY - real</v>
      </c>
      <c r="F19" s="267">
        <f xml:space="preserve"> Calcs!F$24</f>
        <v>0</v>
      </c>
      <c r="G19" s="267" t="str">
        <f xml:space="preserve"> Calcs!G$24</f>
        <v>£m</v>
      </c>
      <c r="H19" s="268">
        <f xml:space="preserve"> Calcs!H$24</f>
        <v>0</v>
      </c>
      <c r="J19" s="240">
        <v>0</v>
      </c>
      <c r="K19" s="199">
        <f t="shared" si="0"/>
        <v>0</v>
      </c>
      <c r="L19" s="241">
        <v>0</v>
      </c>
      <c r="N19" s="242"/>
      <c r="O19" s="243"/>
    </row>
    <row r="20" spans="1:15" outlineLevel="1">
      <c r="A20" s="236"/>
      <c r="B20" s="236"/>
      <c r="C20" s="237"/>
      <c r="D20" s="208"/>
      <c r="E20" s="238"/>
      <c r="F20" s="238"/>
      <c r="G20" s="238"/>
      <c r="H20" s="239"/>
      <c r="J20" s="240">
        <v>0</v>
      </c>
      <c r="K20" s="199">
        <f t="shared" si="0"/>
        <v>0</v>
      </c>
      <c r="L20" s="241">
        <v>0</v>
      </c>
      <c r="N20" s="242"/>
      <c r="O20" s="243"/>
    </row>
    <row r="21" spans="1:15" outlineLevel="1">
      <c r="A21" s="236"/>
      <c r="B21" s="236"/>
      <c r="C21" s="237"/>
      <c r="D21" s="208"/>
      <c r="E21" s="267" t="str">
        <f xml:space="preserve"> Calcs!E$143</f>
        <v>Difference in allowed revenue WR - real</v>
      </c>
      <c r="F21" s="267">
        <f xml:space="preserve"> Calcs!F$143</f>
        <v>0</v>
      </c>
      <c r="G21" s="267" t="str">
        <f xml:space="preserve"> Calcs!G$143</f>
        <v>£m</v>
      </c>
      <c r="H21" s="268">
        <f xml:space="preserve"> Calcs!H$143</f>
        <v>-5.4022967624738243</v>
      </c>
      <c r="J21" s="240">
        <v>1</v>
      </c>
      <c r="K21" s="199">
        <f t="shared" si="0"/>
        <v>-5.4022967624738243</v>
      </c>
      <c r="L21" s="241">
        <v>0</v>
      </c>
      <c r="N21" s="242"/>
      <c r="O21" s="243"/>
    </row>
    <row r="22" spans="1:15" outlineLevel="1">
      <c r="A22" s="236"/>
      <c r="B22" s="236"/>
      <c r="C22" s="237"/>
      <c r="D22" s="208"/>
      <c r="E22" s="267" t="str">
        <f xml:space="preserve"> Calcs!E$144</f>
        <v>Difference in allowed revenue WN - real</v>
      </c>
      <c r="F22" s="267">
        <f xml:space="preserve"> Calcs!F$144</f>
        <v>0</v>
      </c>
      <c r="G22" s="267" t="str">
        <f xml:space="preserve"> Calcs!G$144</f>
        <v>£m</v>
      </c>
      <c r="H22" s="268">
        <f xml:space="preserve"> Calcs!H$144</f>
        <v>-47.263484554305819</v>
      </c>
      <c r="J22" s="240">
        <v>1</v>
      </c>
      <c r="K22" s="199">
        <f t="shared" si="0"/>
        <v>-47.263484554305819</v>
      </c>
      <c r="L22" s="241">
        <v>0</v>
      </c>
      <c r="N22" s="242"/>
      <c r="O22" s="243"/>
    </row>
    <row r="23" spans="1:15" outlineLevel="1">
      <c r="A23" s="236"/>
      <c r="B23" s="236"/>
      <c r="C23" s="237"/>
      <c r="D23" s="208"/>
      <c r="E23" s="267" t="str">
        <f xml:space="preserve"> Calcs!E$145</f>
        <v>Difference in allowed revenue WWN - real</v>
      </c>
      <c r="F23" s="267">
        <f xml:space="preserve"> Calcs!F$145</f>
        <v>0</v>
      </c>
      <c r="G23" s="267" t="str">
        <f xml:space="preserve"> Calcs!G$145</f>
        <v>£m</v>
      </c>
      <c r="H23" s="268">
        <f xml:space="preserve"> Calcs!H$145</f>
        <v>-66.108926906575675</v>
      </c>
      <c r="J23" s="240">
        <v>1</v>
      </c>
      <c r="K23" s="199">
        <f t="shared" si="0"/>
        <v>-66.108926906575675</v>
      </c>
      <c r="L23" s="241">
        <v>0</v>
      </c>
      <c r="N23" s="242"/>
      <c r="O23" s="243"/>
    </row>
    <row r="24" spans="1:15" outlineLevel="1">
      <c r="A24" s="236"/>
      <c r="B24" s="236"/>
      <c r="C24" s="237"/>
      <c r="D24" s="208"/>
      <c r="E24" s="267" t="str">
        <f xml:space="preserve"> Calcs!E$146</f>
        <v>Difference in allowed revenue BR - real</v>
      </c>
      <c r="F24" s="267">
        <f xml:space="preserve"> Calcs!F$146</f>
        <v>0</v>
      </c>
      <c r="G24" s="267" t="str">
        <f xml:space="preserve"> Calcs!G$146</f>
        <v>£m</v>
      </c>
      <c r="H24" s="268">
        <f xml:space="preserve"> Calcs!H$146</f>
        <v>-11.910728884540219</v>
      </c>
      <c r="J24" s="240">
        <v>1</v>
      </c>
      <c r="K24" s="199">
        <f t="shared" si="0"/>
        <v>-11.910728884540219</v>
      </c>
      <c r="L24" s="241">
        <v>0</v>
      </c>
      <c r="N24" s="242"/>
      <c r="O24" s="243"/>
    </row>
    <row r="25" spans="1:15" outlineLevel="1">
      <c r="A25" s="236"/>
      <c r="B25" s="236"/>
      <c r="C25" s="237"/>
      <c r="D25" s="208"/>
      <c r="E25" s="267" t="str">
        <f xml:space="preserve"> Calcs!E$147</f>
        <v>Difference in allowed revenue DMMY - real</v>
      </c>
      <c r="F25" s="267">
        <f xml:space="preserve"> Calcs!F$147</f>
        <v>0</v>
      </c>
      <c r="G25" s="267" t="str">
        <f xml:space="preserve"> Calcs!G$147</f>
        <v>£m</v>
      </c>
      <c r="H25" s="268">
        <f xml:space="preserve"> Calcs!H$147</f>
        <v>0</v>
      </c>
      <c r="J25" s="240">
        <v>0</v>
      </c>
      <c r="K25" s="199">
        <f t="shared" si="0"/>
        <v>0</v>
      </c>
      <c r="L25" s="241">
        <v>0</v>
      </c>
      <c r="N25" s="242"/>
      <c r="O25" s="243"/>
    </row>
    <row r="26" spans="1:15" s="235" customFormat="1" ht="15" customHeight="1" collapsed="1">
      <c r="A26" s="226" t="s">
        <v>294</v>
      </c>
      <c r="B26" s="226"/>
      <c r="C26" s="227"/>
      <c r="D26" s="228"/>
      <c r="E26" s="229"/>
      <c r="F26" s="228"/>
      <c r="G26" s="229"/>
      <c r="H26" s="230"/>
      <c r="I26" s="229"/>
      <c r="J26" s="229"/>
      <c r="K26" s="231"/>
      <c r="L26" s="232"/>
      <c r="M26" s="233"/>
      <c r="N26" s="232"/>
      <c r="O26" s="234"/>
    </row>
    <row r="27" spans="1:15">
      <c r="A27" s="236"/>
      <c r="B27" s="236"/>
      <c r="C27" s="245"/>
      <c r="D27" s="237"/>
      <c r="E27" s="246"/>
      <c r="G27" s="246"/>
      <c r="I27" s="238"/>
      <c r="K27" s="239"/>
      <c r="L27" s="247"/>
      <c r="N27" s="292"/>
      <c r="O27" s="243"/>
    </row>
    <row r="28" spans="1:15">
      <c r="A28" s="248"/>
      <c r="B28" s="248"/>
      <c r="C28" s="249"/>
      <c r="D28" s="206"/>
      <c r="E28" s="206" t="s">
        <v>295</v>
      </c>
      <c r="F28" s="250"/>
      <c r="G28" s="206"/>
      <c r="H28" s="251">
        <f ca="1" xml:space="preserve"> TODAY()</f>
        <v>45532</v>
      </c>
      <c r="I28" s="252"/>
      <c r="M28" s="198"/>
      <c r="N28" s="293"/>
      <c r="O28" s="200"/>
    </row>
    <row r="29" spans="1:15">
      <c r="A29" s="253"/>
      <c r="B29" s="253"/>
      <c r="C29" s="254"/>
      <c r="D29" s="252"/>
      <c r="E29" s="206" t="s">
        <v>296</v>
      </c>
      <c r="F29" s="205"/>
      <c r="G29" s="252"/>
      <c r="H29" s="255">
        <f ca="1" xml:space="preserve"> NOW()</f>
        <v>45532.188092129632</v>
      </c>
      <c r="M29" s="256"/>
      <c r="N29" s="294"/>
      <c r="O29" s="257"/>
    </row>
    <row r="30" spans="1:15">
      <c r="D30" s="208"/>
      <c r="E30" s="208" t="s">
        <v>297</v>
      </c>
      <c r="F30" s="205"/>
      <c r="H30" s="199" t="str">
        <f ca="1" xml:space="preserve"> MID(CELL("filename",$A$1), SEARCH("[", CELL("filename",$A$1)) + 1, SEARCH("]", CELL("filename",$A$1)) - SEARCH("[", CELL("filename",$A$1)) - 1)</f>
        <v>UUWR_102.018_Tax-reconciliation-model.xlsb</v>
      </c>
      <c r="N30" s="295"/>
    </row>
    <row r="31" spans="1:15">
      <c r="A31" s="258"/>
      <c r="B31" s="258"/>
      <c r="C31" s="259"/>
      <c r="D31" s="260"/>
      <c r="E31" s="221" t="s">
        <v>293</v>
      </c>
      <c r="F31" s="261"/>
      <c r="G31" s="262"/>
      <c r="H31" s="224"/>
      <c r="I31" s="217"/>
      <c r="J31" s="217" t="s">
        <v>298</v>
      </c>
      <c r="K31" s="224"/>
      <c r="L31" s="225"/>
      <c r="N31" s="217"/>
    </row>
    <row r="32" spans="1:15">
      <c r="F32" s="205"/>
      <c r="N32" s="217"/>
    </row>
    <row r="33" spans="1:14" ht="174" customHeight="1">
      <c r="E33" s="208" t="s">
        <v>299</v>
      </c>
      <c r="F33" s="205"/>
      <c r="N33" s="288"/>
    </row>
    <row r="34" spans="1:14">
      <c r="E34" s="208" t="s">
        <v>300</v>
      </c>
      <c r="N34" s="288"/>
    </row>
    <row r="35" spans="1:14">
      <c r="N35" s="210"/>
    </row>
    <row r="36" spans="1:14">
      <c r="N36" s="210"/>
    </row>
    <row r="37" spans="1:14" s="263" customFormat="1">
      <c r="A37" s="263" t="s">
        <v>301</v>
      </c>
      <c r="C37" s="264"/>
      <c r="D37" s="265"/>
      <c r="E37" s="264"/>
      <c r="F37" s="266"/>
    </row>
    <row r="38" spans="1:14"/>
  </sheetData>
  <conditionalFormatting sqref="J2 J9:J25">
    <cfRule type="cellIs" dxfId="4" priority="294" stopIfTrue="1" operator="notEqual">
      <formula>0</formula>
    </cfRule>
    <cfRule type="cellIs" dxfId="3" priority="295" stopIfTrue="1" operator="equal">
      <formula>""</formula>
    </cfRule>
  </conditionalFormatting>
  <conditionalFormatting sqref="F1:G1">
    <cfRule type="expression" dxfId="2" priority="79" stopIfTrue="1">
      <formula xml:space="preserve"> $F$1 = "Notionalised"</formula>
    </cfRule>
  </conditionalFormatting>
  <conditionalFormatting sqref="F2">
    <cfRule type="cellIs" dxfId="1" priority="1" stopIfTrue="1" operator="notEqual">
      <formula>0</formula>
    </cfRule>
    <cfRule type="cellIs" dxfId="0" priority="2" stopIfTrue="1" operator="equal">
      <formula>""</formula>
    </cfRule>
  </conditionalFormatting>
  <dataValidations count="1">
    <dataValidation type="list" allowBlank="1" showInputMessage="1" showErrorMessage="1" sqref="H6" xr:uid="{00000000-0002-0000-0800-000000000000}">
      <formula1>$M$6:$O$6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&amp;LPage &amp;P of &amp;N&amp;CSheet: &amp;A</oddHeader>
    <oddFooter>&amp;L&amp;F printed on &amp;D at &amp;T&amp;ROFWAT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B8374DF588E489135E687C03F7996" ma:contentTypeVersion="1" ma:contentTypeDescription="Create a new document." ma:contentTypeScope="" ma:versionID="5230e6c9cab2fcb3eb1824508f72fc22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95360981-546e-4f39-af6b-5758d549268d" xsi:nil="true"/>
    <Classification xmlns="95360981-546e-4f39-af6b-5758d549268d">Internal Use</Classification>
    <_dlc_DocId xmlns="95360981-546e-4f39-af6b-5758d549268d">4F5WJJKREEPS-2026619861-590</_dlc_DocId>
    <_dlc_DocIdUrl xmlns="95360981-546e-4f39-af6b-5758d549268d">
      <Url>https://uusp/uu/PR24/_layouts/15/DocIdRedir.aspx?ID=4F5WJJKREEPS-2026619861-590</Url>
      <Description>4F5WJJKREEPS-2026619861-590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951063B-E4BB-440C-8674-C145D9D1C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60981-546e-4f39-af6b-5758d54926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1EA3C-3C42-45B8-8FBC-DF3D9E49662E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95360981-546e-4f39-af6b-5758d549268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262F57B-9E73-4193-BDC5-D0DF6ADE62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D916F1-35D0-445C-9783-A8382F3F8E3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Cover</vt:lpstr>
      <vt:lpstr>Map and key</vt:lpstr>
      <vt:lpstr>Model formatting</vt:lpstr>
      <vt:lpstr>Inputs</vt:lpstr>
      <vt:lpstr>Time</vt:lpstr>
      <vt:lpstr>Calcs</vt:lpstr>
      <vt:lpstr>Dashboard</vt:lpstr>
      <vt:lpstr>Checks</vt:lpstr>
      <vt:lpstr>Track</vt:lpstr>
      <vt:lpstr>ChK_Tol</vt:lpstr>
      <vt:lpstr>LIVE_RESULTS</vt:lpstr>
      <vt:lpstr>Calcs!Print_Titles</vt:lpstr>
      <vt:lpstr>Checks!Print_Titles</vt:lpstr>
      <vt:lpstr>Inputs!Print_Titles</vt:lpstr>
      <vt:lpstr>Time!Print_Titles</vt:lpstr>
      <vt:lpstr>START_TRACK_STORE</vt:lpstr>
      <vt:lpstr>TRACK_ACTIVE</vt:lpstr>
      <vt:lpstr>TRACK_COMMENT_START</vt:lpstr>
      <vt:lpstr>TRK_COMMENT</vt:lpstr>
      <vt:lpstr>TRK_TOL</vt:lpstr>
    </vt:vector>
  </TitlesOfParts>
  <Manager/>
  <Company>Water Services Regulation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reconciliation illustrative model</dc:title>
  <dc:subject/>
  <dc:creator>Robert Thorp</dc:creator>
  <cp:keywords/>
  <dc:description/>
  <cp:lastModifiedBy>Tothill, Robert</cp:lastModifiedBy>
  <cp:revision/>
  <dcterms:created xsi:type="dcterms:W3CDTF">2015-02-10T14:45:54Z</dcterms:created>
  <dcterms:modified xsi:type="dcterms:W3CDTF">2024-08-28T03:31:08Z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0x010100C4EB8374DF588E489135E687C03F7996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  <property fmtid="{D5CDD505-2E9C-101B-9397-08002B2CF9AE}" pid="17" name="_dlc_DocIdItemGuid">
    <vt:lpwstr>674b9e35-35b2-4267-a3db-7fad47adff22</vt:lpwstr>
  </property>
  <property fmtid="{D5CDD505-2E9C-101B-9397-08002B2CF9AE}" pid="18" name="MSIP_Label_5fa35bea-b470-4850-b735-1c48374a6ec0_Enabled">
    <vt:lpwstr>true</vt:lpwstr>
  </property>
  <property fmtid="{D5CDD505-2E9C-101B-9397-08002B2CF9AE}" pid="19" name="MSIP_Label_5fa35bea-b470-4850-b735-1c48374a6ec0_SetDate">
    <vt:lpwstr>2024-07-19T15:06:47Z</vt:lpwstr>
  </property>
  <property fmtid="{D5CDD505-2E9C-101B-9397-08002B2CF9AE}" pid="20" name="MSIP_Label_5fa35bea-b470-4850-b735-1c48374a6ec0_Method">
    <vt:lpwstr>Privileged</vt:lpwstr>
  </property>
  <property fmtid="{D5CDD505-2E9C-101B-9397-08002B2CF9AE}" pid="21" name="MSIP_Label_5fa35bea-b470-4850-b735-1c48374a6ec0_Name">
    <vt:lpwstr>Internal</vt:lpwstr>
  </property>
  <property fmtid="{D5CDD505-2E9C-101B-9397-08002B2CF9AE}" pid="22" name="MSIP_Label_5fa35bea-b470-4850-b735-1c48374a6ec0_SiteId">
    <vt:lpwstr>fd84ea5f-acd2-4dfc-9b72-abb5d1685310</vt:lpwstr>
  </property>
  <property fmtid="{D5CDD505-2E9C-101B-9397-08002B2CF9AE}" pid="23" name="MSIP_Label_5fa35bea-b470-4850-b735-1c48374a6ec0_ActionId">
    <vt:lpwstr>436a98c3-f982-4551-a109-130c8b801259</vt:lpwstr>
  </property>
  <property fmtid="{D5CDD505-2E9C-101B-9397-08002B2CF9AE}" pid="24" name="MSIP_Label_5fa35bea-b470-4850-b735-1c48374a6ec0_ContentBits">
    <vt:lpwstr>0</vt:lpwstr>
  </property>
</Properties>
</file>